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showSheetTabs="0" xWindow="32760" yWindow="32760" windowWidth="25200" windowHeight="12465" tabRatio="806" firstSheet="3" activeTab="3"/>
  </bookViews>
  <sheets>
    <sheet name="Objeto" sheetId="1" state="hidden" r:id="rId1"/>
    <sheet name="Cronograma" sheetId="2" state="hidden" r:id="rId2"/>
    <sheet name="Preços" sheetId="3" state="hidden" r:id="rId3"/>
    <sheet name="Menu" sheetId="4" r:id="rId4"/>
    <sheet name="Orientações" sheetId="5" r:id="rId5"/>
    <sheet name="EPIs-EPCs" sheetId="6" r:id="rId6"/>
    <sheet name="PINI - Hora" sheetId="7" state="hidden" r:id="rId7"/>
    <sheet name="PINI - Mês" sheetId="8" state="hidden" r:id="rId8"/>
    <sheet name="ACT-CCT-Outra - Hora" sheetId="9" state="hidden" r:id="rId9"/>
    <sheet name="ACT-CCT-Outra - Mês" sheetId="10" state="hidden" r:id="rId10"/>
    <sheet name="FGV - Hora" sheetId="11" state="hidden" r:id="rId11"/>
    <sheet name="FGV - Mês" sheetId="12" state="hidden" r:id="rId12"/>
    <sheet name="BDI SERVIÇOS" sheetId="13" r:id="rId13"/>
    <sheet name="DBI %" sheetId="14" state="hidden" r:id="rId14"/>
    <sheet name="BDI MATERIAIS" sheetId="15" r:id="rId15"/>
    <sheet name="Custo da Mão de Obra " sheetId="16" r:id="rId16"/>
    <sheet name="Tab Composição Itens Unitários" sheetId="17" r:id="rId17"/>
    <sheet name="Orçamento GERAL DAS UNIDADES" sheetId="18" state="hidden" r:id="rId18"/>
    <sheet name="Dimension. cabos CC" sheetId="19" state="hidden" r:id="rId19"/>
  </sheets>
  <externalReferences>
    <externalReference r:id="rId22"/>
  </externalReferences>
  <definedNames>
    <definedName name="_xlfn.SINGLE" hidden="1">#NAME?</definedName>
    <definedName name="_xlfn.SUMIFS" hidden="1">#NAME?</definedName>
    <definedName name="admin">'Preços'!$B$53:$J$54</definedName>
    <definedName name="admin_cxv3_vinc">'Preços'!$P$15</definedName>
    <definedName name="admin_final">'Preços'!$I$53:$J$54</definedName>
    <definedName name="admin_inicial">'Preços'!$I$53:$J$53</definedName>
    <definedName name="admin_rotulo">'Preços'!$I$52</definedName>
    <definedName name="admin_soma">'Preços'!$I$53:$I$54</definedName>
    <definedName name="admin_valor" localSheetId="15">'[1]Preços'!$I$55</definedName>
    <definedName name="admin_valor" localSheetId="5">'[1]Preços'!$I$55</definedName>
    <definedName name="admin_valor">'Preços'!$I$55</definedName>
    <definedName name="_xlnm.Print_Area" localSheetId="1">'Cronograma'!$A$1:$F$15</definedName>
    <definedName name="_xlnm.Print_Area" localSheetId="10">'FGV - Hora'!$B$1:$D$41</definedName>
    <definedName name="_xlnm.Print_Area" localSheetId="11">'FGV - Mês'!$A$1:$D$39</definedName>
    <definedName name="_xlnm.Print_Area" localSheetId="0">'Objeto'!$B$1:$G$11</definedName>
    <definedName name="_xlnm.Print_Area" localSheetId="2">'Preços'!$A$1:$K$89</definedName>
    <definedName name="_xlnm.Print_Area" localSheetId="16">'Tab Composição Itens Unitários'!$B$89:$R$181</definedName>
    <definedName name="btgir_vinc">'Preços'!$O$10</definedName>
    <definedName name="cofins_outro">'Preços'!$R$12</definedName>
    <definedName name="cofins_presumido">'Preços'!$R$10</definedName>
    <definedName name="cofins_real">'Preços'!$R$11</definedName>
    <definedName name="cofins_valor" localSheetId="15">'[1]Preços'!$J$16</definedName>
    <definedName name="cofins_valor" localSheetId="5">'[1]Preços'!$J$16</definedName>
    <definedName name="cofins_valor">'Preços'!$J$16</definedName>
    <definedName name="ct_duracao_opc">'Preços'!$P$6</definedName>
    <definedName name="ct_duracao_unid">'Preços'!$F$12</definedName>
    <definedName name="cxv1_vinc">'Preços'!$P$13</definedName>
    <definedName name="equipamentos">'Preços'!$B$38:$N$39</definedName>
    <definedName name="equipamentos_final">'Preços'!$I$38:$J$39</definedName>
    <definedName name="equipamentos_inicial">'Preços'!$I$38:$J$38</definedName>
    <definedName name="equipamentos_rotulo">'Preços'!$I$37</definedName>
    <definedName name="equipamentos_soma">'Preços'!$I$38:$I$39</definedName>
    <definedName name="equipamentos_valor" localSheetId="15">'[1]Preços'!$I$40</definedName>
    <definedName name="equipamentos_valor" localSheetId="5">'[1]Preços'!$I$40</definedName>
    <definedName name="equipamentos_valor">'Preços'!$I$40</definedName>
    <definedName name="insumos">'Preços'!$B$44:$I$45</definedName>
    <definedName name="insumos_final">'Preços'!$I$44:$J$45</definedName>
    <definedName name="insumos_inicial">'Preços'!$I$44:$J$44</definedName>
    <definedName name="insumos_rotulo">'Preços'!$I$43</definedName>
    <definedName name="insumos_soma">'Preços'!$I$44:$I$48</definedName>
    <definedName name="insumos_valor" localSheetId="15">'[1]Preços'!$I$49</definedName>
    <definedName name="insumos_valor" localSheetId="5">'[1]Preços'!$I$49</definedName>
    <definedName name="insumos_valor">'Preços'!$I$49</definedName>
    <definedName name="linhas_admin">'Preços'!$51:$56</definedName>
    <definedName name="linhas_reemb">'Preços'!$67:$74</definedName>
    <definedName name="mao_obra">'Preços'!$B$21:$O$22</definedName>
    <definedName name="mao_obra_final">'Preços'!$H$21:$J$22</definedName>
    <definedName name="mao_obra_inicial">'Preços'!$H$21:$J$21</definedName>
    <definedName name="mao_obra_rotulo">'Preços'!$J$20</definedName>
    <definedName name="mao_obra_soma">'Preços'!$J$21:$J$25</definedName>
    <definedName name="mao_obra_valor">'Preços'!$J$26</definedName>
    <definedName name="materiais">'Preços'!$B$32:$N$33</definedName>
    <definedName name="materiais_final">'Preços'!$I$32:$J$33</definedName>
    <definedName name="materiais_inicial">'Preços'!$I$32:$J$32</definedName>
    <definedName name="materiais_rotulo">'Preços'!$I$31</definedName>
    <definedName name="materiais_soma">'Preços'!$I$32:$I$33</definedName>
    <definedName name="materiais_valor" localSheetId="15">'[1]Preços'!$I$34</definedName>
    <definedName name="materiais_valor" localSheetId="5">'[1]Preços'!$I$34</definedName>
    <definedName name="materiais_valor">'Preços'!$I$34</definedName>
    <definedName name="pis_outro">'Preços'!$Q$12</definedName>
    <definedName name="pis_presumido">'Preços'!$Q$10</definedName>
    <definedName name="pis_real">'Preços'!$Q$11</definedName>
    <definedName name="pis_valor" localSheetId="15">'[1]Preços'!$J$15</definedName>
    <definedName name="pis_valor" localSheetId="5">'[1]Preços'!$J$15</definedName>
    <definedName name="pis_valor">'Preços'!$J$15</definedName>
    <definedName name="reemb_cxv4_vinc">'Preços'!$P$16</definedName>
    <definedName name="reembolso">'Preços'!$B$71:$I$71</definedName>
    <definedName name="reembolso_final">'Preços'!$I$71:$J$72</definedName>
    <definedName name="reembolso_inicial">'Preços'!$I$71:$J$71</definedName>
    <definedName name="reembolso_rotulo">'Preços'!$I$70</definedName>
    <definedName name="reembolso_soma">'Preços'!$I$71:$I$72</definedName>
    <definedName name="reembolso_valor">'Preços'!$I$73</definedName>
    <definedName name="Z_62472160_B7FC_11D8_BD61_00064F0865D0_.wvu.PrintArea" localSheetId="10" hidden="1">'FGV - Hora'!$B$2:$D$40</definedName>
  </definedNames>
  <calcPr fullCalcOnLoad="1"/>
</workbook>
</file>

<file path=xl/comments11.xml><?xml version="1.0" encoding="utf-8"?>
<comments xmlns="http://schemas.openxmlformats.org/spreadsheetml/2006/main">
  <authors>
    <author>DECT</author>
  </authors>
  <commentList>
    <comment ref="B29" authorId="0">
      <text>
        <r>
          <rPr>
            <b/>
            <sz val="8"/>
            <rFont val="Tahoma"/>
            <family val="2"/>
          </rPr>
          <t>Provisão para rescisões ocorridas durante a execução do contrato.</t>
        </r>
      </text>
    </comment>
    <comment ref="B30" authorId="0">
      <text>
        <r>
          <rPr>
            <b/>
            <sz val="8"/>
            <rFont val="Tahoma"/>
            <family val="2"/>
          </rPr>
          <t>Provisão para rescisões ocorridas no mês anterior ao dissídio coletivo, conforme Legislação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B5" authorId="0">
      <text>
        <r>
          <rPr>
            <sz val="10"/>
            <color indexed="8"/>
            <rFont val="Liberation Sans"/>
            <family val="2"/>
          </rPr>
          <t>Custo relativo à administração, manutenção, marketing, suporte das equipes de campo, entre outros.</t>
        </r>
      </text>
    </comment>
    <comment ref="B6" authorId="0">
      <text>
        <r>
          <rPr>
            <sz val="10"/>
            <color indexed="8"/>
            <rFont val="Liberation Sans"/>
            <family val="2"/>
          </rPr>
          <t xml:space="preserve">É o rateio do custo da sede entre as obras da Construtora.
</t>
        </r>
        <r>
          <rPr>
            <sz val="11"/>
            <color indexed="8"/>
            <rFont val="Liberation Sans"/>
            <family val="2"/>
          </rPr>
          <t xml:space="preserve">
</t>
        </r>
        <r>
          <rPr>
            <sz val="10"/>
            <color indexed="8"/>
            <rFont val="Liberation Sans"/>
            <family val="2"/>
          </rPr>
          <t>Varia de 7% a 15% (empresas com grande faturamento anual) e de 10% a 20% (empresas com pequeno faturamento anual)</t>
        </r>
      </text>
    </comment>
    <comment ref="B7" authorId="0">
      <text>
        <r>
          <rPr>
            <sz val="10"/>
            <color indexed="8"/>
            <rFont val="Liberation Sans"/>
            <family val="2"/>
          </rPr>
          <t>São os custos relativos à administração direta do projeto ou empreendimento, inerentes ao Canteiro de Obras ou Serviços.</t>
        </r>
      </text>
    </comment>
    <comment ref="B8" authorId="0">
      <text>
        <r>
          <rPr>
            <sz val="10"/>
            <color indexed="8"/>
            <rFont val="Liberation Sans"/>
            <family val="2"/>
          </rPr>
          <t>O custo relativo à administração, manutenção e suporte das equipes de campo.</t>
        </r>
      </text>
    </comment>
    <comment ref="B9" authorId="0">
      <text>
        <r>
          <rPr>
            <sz val="10"/>
            <color indexed="8"/>
            <rFont val="Liberation Sans"/>
            <family val="2"/>
          </rPr>
          <t>Visam corrigir monetariamente os déficits de caixa que os contratos apresentam, principalmente em função da forma de medição e pagamento dos mesmos</t>
        </r>
      </text>
    </comment>
    <comment ref="B10" authorId="0">
      <text>
        <r>
          <rPr>
            <sz val="10"/>
            <color indexed="8"/>
            <rFont val="Liberation Sans"/>
            <family val="2"/>
          </rPr>
          <t>Custos de limpeza e outros que acontecem após a obra estar finalizada.</t>
        </r>
      </text>
    </comment>
    <comment ref="B11" authorId="0">
      <text>
        <r>
          <rPr>
            <sz val="10"/>
            <color indexed="8"/>
            <rFont val="Liberation Sans"/>
            <family val="2"/>
          </rPr>
          <t xml:space="preserve">Visa melhorar eventuais
distorções no valor aproximado pelo cálculo
estimado, devido ao seu caráter genérico
adotado pelos contratantes.
</t>
        </r>
        <r>
          <rPr>
            <sz val="11"/>
            <color indexed="8"/>
            <rFont val="Liberation Sans"/>
            <family val="2"/>
          </rPr>
          <t xml:space="preserve">
</t>
        </r>
        <r>
          <rPr>
            <sz val="10"/>
            <color indexed="8"/>
            <rFont val="Liberation Sans"/>
            <family val="2"/>
          </rPr>
          <t>Varia de 5% a 10%.</t>
        </r>
      </text>
    </comment>
    <comment ref="B18" authorId="0">
      <text>
        <r>
          <rPr>
            <sz val="10"/>
            <color indexed="8"/>
            <rFont val="Liberation Sans"/>
            <family val="2"/>
          </rPr>
          <t>Como Imposto de Renda, PIS, ISS, COFINS, CPMF, entre outros</t>
        </r>
      </text>
    </comment>
    <comment ref="B19" authorId="0">
      <text>
        <r>
          <rPr>
            <sz val="10"/>
            <color indexed="8"/>
            <rFont val="Liberation Sans"/>
            <family val="2"/>
          </rPr>
          <t xml:space="preserve">É definido exclusivamente pelo
prestador de serviço ou empresa contratada.
</t>
        </r>
        <r>
          <rPr>
            <sz val="11"/>
            <color indexed="8"/>
            <rFont val="Liberation Sans"/>
            <family val="2"/>
          </rPr>
          <t xml:space="preserve">
</t>
        </r>
        <r>
          <rPr>
            <sz val="10"/>
            <color indexed="8"/>
            <rFont val="Liberation Sans"/>
            <family val="2"/>
          </rPr>
          <t>Varia de 15% (obras até R$150.000,00) até 5% (obras acima de R$ 1.500.000,00)</t>
        </r>
      </text>
    </comment>
    <comment ref="B20" authorId="0">
      <text>
        <r>
          <rPr>
            <sz val="10"/>
            <color indexed="8"/>
            <rFont val="Liberation Sans"/>
            <family val="2"/>
          </rPr>
          <t>É um seguro específico que cobre obras civis em construção ou instalação e montagem e os materiais utilizados.</t>
        </r>
      </text>
    </comment>
    <comment ref="B21" authorId="0">
      <text>
        <r>
          <rPr>
            <sz val="10"/>
            <color indexed="8"/>
            <rFont val="Liberation Sans"/>
            <family val="2"/>
          </rPr>
          <t>Comissão financeira paga por fornecedores de produtos e lojistas pela indicação.</t>
        </r>
      </text>
    </comment>
    <comment ref="B26" authorId="0">
      <text>
        <r>
          <rPr>
            <sz val="10"/>
            <color indexed="8"/>
            <rFont val="Liberation Sans"/>
            <family val="2"/>
          </rPr>
          <t>Preço de venda com impostos, lucro, seguro e reserva técnica.</t>
        </r>
      </text>
    </comment>
  </commentList>
</comments>
</file>

<file path=xl/comments3.xml><?xml version="1.0" encoding="utf-8"?>
<comments xmlns="http://schemas.openxmlformats.org/spreadsheetml/2006/main">
  <authors>
    <author>DECT</author>
    <author>Sergio</author>
  </authors>
  <commentList>
    <comment ref="B70" authorId="0">
      <text>
        <r>
          <rPr>
            <b/>
            <sz val="8"/>
            <rFont val="Tahoma"/>
            <family val="2"/>
          </rPr>
          <t>Inserir verba para viagens ou outras despesas que não sofrem incidência do BDI.</t>
        </r>
      </text>
    </comment>
    <comment ref="H42" authorId="0">
      <text>
        <r>
          <rPr>
            <sz val="8"/>
            <rFont val="Tahoma"/>
            <family val="2"/>
          </rPr>
          <t>Para os casos em que é permitido por lei, tais como Vale transporte (6%) e Vale alimentação (20%), obedecendo ao acordo coletivo.</t>
        </r>
      </text>
    </comment>
    <comment ref="H10" authorId="0">
      <text>
        <r>
          <rPr>
            <b/>
            <sz val="8"/>
            <rFont val="Tahoma"/>
            <family val="2"/>
          </rPr>
          <t>DECT:</t>
        </r>
        <r>
          <rPr>
            <sz val="8"/>
            <rFont val="Tahoma"/>
            <family val="2"/>
          </rPr>
          <t xml:space="preserve">
Referente aos Custos na sede da empresa, como telefonia, papéis, etc..</t>
        </r>
      </text>
    </comment>
    <comment ref="H11" authorId="0">
      <text>
        <r>
          <rPr>
            <b/>
            <sz val="8"/>
            <rFont val="Tahoma"/>
            <family val="2"/>
          </rPr>
          <t>DECT:</t>
        </r>
        <r>
          <rPr>
            <sz val="8"/>
            <rFont val="Tahoma"/>
            <family val="2"/>
          </rPr>
          <t xml:space="preserve">
Percentual sugerido: 1,5%. Pode-se considerar o Custo de Oportunidade.</t>
        </r>
      </text>
    </comment>
    <comment ref="H12" authorId="0">
      <text>
        <r>
          <rPr>
            <b/>
            <sz val="8"/>
            <rFont val="Tahoma"/>
            <family val="2"/>
          </rPr>
          <t>DECT:</t>
        </r>
        <r>
          <rPr>
            <sz val="8"/>
            <rFont val="Tahoma"/>
            <family val="2"/>
          </rPr>
          <t xml:space="preserve">
Lucro estimado pelo Administrador. Em geral, varia entre 5 e 10%.</t>
        </r>
      </text>
    </comment>
    <comment ref="H13" authorId="0">
      <text>
        <r>
          <rPr>
            <sz val="8"/>
            <rFont val="Tahoma"/>
            <family val="2"/>
          </rPr>
          <t>1%-Risco Leve (ex.: Serviços de Informática)
2%-Risco Médio (ex.:Limpeza e Conservação)
3%-Risco  Alto (ex.: Serviços  de Engenharia)</t>
        </r>
      </text>
    </comment>
    <comment ref="H14" authorId="0">
      <text>
        <r>
          <rPr>
            <b/>
            <sz val="8"/>
            <rFont val="Tahoma"/>
            <family val="2"/>
          </rPr>
          <t>DECT:</t>
        </r>
        <r>
          <rPr>
            <sz val="8"/>
            <rFont val="Tahoma"/>
            <family val="2"/>
          </rPr>
          <t xml:space="preserve">
Este percentual varia de acordo com o tipo de serviço e o local de execução, limitado a 5%.</t>
        </r>
      </text>
    </comment>
    <comment ref="I15" authorId="1">
      <text>
        <r>
          <rPr>
            <b/>
            <sz val="8"/>
            <rFont val="Tahoma"/>
            <family val="2"/>
          </rPr>
          <t xml:space="preserve">Ajuda:
</t>
        </r>
        <r>
          <rPr>
            <sz val="8"/>
            <rFont val="Tahoma"/>
            <family val="2"/>
          </rPr>
          <t>0,65 e 3,00:
Para empresas que podem optar pelo lucro presumido (faturamento de até R$ 48.000.000/ano). Em geral são as que executam a maior parte dos serviços na CHESF.
1,65 e 7,6:
Empresas de médio e grande porte. Apuram seus resultados pelo Lucro Real.</t>
        </r>
      </text>
    </comment>
  </commentList>
</comments>
</file>

<file path=xl/sharedStrings.xml><?xml version="1.0" encoding="utf-8"?>
<sst xmlns="http://schemas.openxmlformats.org/spreadsheetml/2006/main" count="1277" uniqueCount="514">
  <si>
    <t>Previdência Social</t>
  </si>
  <si>
    <t>A1</t>
  </si>
  <si>
    <t>Fundo de Garantia por Tempo de Serviço</t>
  </si>
  <si>
    <t>A2</t>
  </si>
  <si>
    <t>Salário Educação</t>
  </si>
  <si>
    <t>A4</t>
  </si>
  <si>
    <t>A5</t>
  </si>
  <si>
    <t>Serviço de Apoio à Pequena e Média Empresa (SEBRAE)</t>
  </si>
  <si>
    <t>A6</t>
  </si>
  <si>
    <t>A7</t>
  </si>
  <si>
    <t>A8</t>
  </si>
  <si>
    <t>GRUPO A</t>
  </si>
  <si>
    <t>B1</t>
  </si>
  <si>
    <t>Feriados</t>
  </si>
  <si>
    <t>B2</t>
  </si>
  <si>
    <t>Auxilio-enfermidade</t>
  </si>
  <si>
    <t>B3</t>
  </si>
  <si>
    <t>Licença paternidade</t>
  </si>
  <si>
    <t>B4</t>
  </si>
  <si>
    <t>13º Salário</t>
  </si>
  <si>
    <t>B5</t>
  </si>
  <si>
    <t>GRUPO B - sofre incidência de A</t>
  </si>
  <si>
    <t>GRUPO C  - não sofre incidência de A</t>
  </si>
  <si>
    <t>TOTAL GRUPO B</t>
  </si>
  <si>
    <t>TOTAL GRUPO A</t>
  </si>
  <si>
    <t>TOTAL GRUPO C</t>
  </si>
  <si>
    <t>GRUPO A  X GRUPO B</t>
  </si>
  <si>
    <t>TOTAL D</t>
  </si>
  <si>
    <t>TOTAL ENCARGOS ( A+ B+ C+ D)</t>
  </si>
  <si>
    <t>Administração Central</t>
  </si>
  <si>
    <t>CPMF</t>
  </si>
  <si>
    <t>Lucro</t>
  </si>
  <si>
    <t>Composição Analítica do BDI- Beneficio e Despesa Indireta</t>
  </si>
  <si>
    <t xml:space="preserve">Repouso semanal remunerado  </t>
  </si>
  <si>
    <t xml:space="preserve">Instituto Nacional de Colonização e Reforma Agrária (INCRA) </t>
  </si>
  <si>
    <t>DESCRIÇÃO</t>
  </si>
  <si>
    <t>Quantidade</t>
  </si>
  <si>
    <t>Preço Unitário</t>
  </si>
  <si>
    <t>Valor Total</t>
  </si>
  <si>
    <t>Unidade</t>
  </si>
  <si>
    <r>
      <t xml:space="preserve"> A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Mão de Obra</t>
    </r>
  </si>
  <si>
    <t>Riscos Ambientais do Trabalho (RAT)</t>
  </si>
  <si>
    <t>Tributos</t>
  </si>
  <si>
    <t>C1</t>
  </si>
  <si>
    <t>D1</t>
  </si>
  <si>
    <t>Despesas financeiras</t>
  </si>
  <si>
    <t>Indique os Percentuais</t>
  </si>
  <si>
    <t>Indique o RAT</t>
  </si>
  <si>
    <t>C. Insumos</t>
  </si>
  <si>
    <t>Fonte: Fundação Getúlio Vargas</t>
  </si>
  <si>
    <t>Benefícios</t>
  </si>
  <si>
    <t>Despesas Indiretas</t>
  </si>
  <si>
    <t>Total de C =</t>
  </si>
  <si>
    <t>Total de A =</t>
  </si>
  <si>
    <t>Serviço:</t>
  </si>
  <si>
    <t>Item:</t>
  </si>
  <si>
    <t>Mensal</t>
  </si>
  <si>
    <t>Global</t>
  </si>
  <si>
    <t>Percentual de BDI</t>
  </si>
  <si>
    <t>A9</t>
  </si>
  <si>
    <t>C3</t>
  </si>
  <si>
    <t>Aviso Prévio Indenizado</t>
  </si>
  <si>
    <t>Indenização Adicional</t>
  </si>
  <si>
    <t>D2</t>
  </si>
  <si>
    <t>Incidência de FGTS sobre Aviso Prévio Indenizado</t>
  </si>
  <si>
    <t>X</t>
  </si>
  <si>
    <t>Outra</t>
  </si>
  <si>
    <t>N° do Item:</t>
  </si>
  <si>
    <t>SESI/SESC</t>
  </si>
  <si>
    <t>SENAI/SENAC</t>
  </si>
  <si>
    <t>GRUPO D - Incidências Cumulativas</t>
  </si>
  <si>
    <t>Depósito rescisão contratual s/ justa causa 50% [A2 +(A2xB)] x 100</t>
  </si>
  <si>
    <t>C2</t>
  </si>
  <si>
    <t>Verba mensal</t>
  </si>
  <si>
    <t>Verba total</t>
  </si>
  <si>
    <t>TABELA DE ENCARGOS SOCIAIS - PINI</t>
  </si>
  <si>
    <t>A3</t>
  </si>
  <si>
    <t>SESI / SESC</t>
  </si>
  <si>
    <t>SENAI / SENAC</t>
  </si>
  <si>
    <t>Dias de chuva/faltas justificadas na obra/outras dificuldades/greve</t>
  </si>
  <si>
    <t>B6</t>
  </si>
  <si>
    <t>Depósito rescisão contratual sem justa causa 50% [A2 +(A2xB)] x 100</t>
  </si>
  <si>
    <t>Férias Indenizadas</t>
  </si>
  <si>
    <t>INCIDÊNCIAS CUMULATIVAS  - D</t>
  </si>
  <si>
    <t>Reincidência de A2 sobre C3</t>
  </si>
  <si>
    <t>Homem-hora</t>
  </si>
  <si>
    <t>Mensalista</t>
  </si>
  <si>
    <t>Bolsa/estágio</t>
  </si>
  <si>
    <t>Prof. Regulam.</t>
  </si>
  <si>
    <t>Periculosidade</t>
  </si>
  <si>
    <t>RAT</t>
  </si>
  <si>
    <t>% Enc.</t>
  </si>
  <si>
    <t>Adicional</t>
  </si>
  <si>
    <t>Quant.</t>
  </si>
  <si>
    <t>Vlr adic.</t>
  </si>
  <si>
    <t>Encargos</t>
  </si>
  <si>
    <t>Tip. Contrat</t>
  </si>
  <si>
    <t>Adicionais</t>
  </si>
  <si>
    <t>Insalub. Baixo</t>
  </si>
  <si>
    <t>Insalub. Médio</t>
  </si>
  <si>
    <t>Insalub. Alto</t>
  </si>
  <si>
    <t>N° Profis.</t>
  </si>
  <si>
    <t>Indique o ISS</t>
  </si>
  <si>
    <t>TABELA DE ENCARGOS SOCIAIS - Mês</t>
  </si>
  <si>
    <t>TABELA DE ENCARGOS SOCIAIS - Hora</t>
  </si>
  <si>
    <t>Horista</t>
  </si>
  <si>
    <t>PINI/FGV</t>
  </si>
  <si>
    <t>und item</t>
  </si>
  <si>
    <t>Total s/ encargos</t>
  </si>
  <si>
    <t>Despesas indiretas</t>
  </si>
  <si>
    <t>FGV</t>
  </si>
  <si>
    <t>PINI</t>
  </si>
  <si>
    <t>B.2 Ferramentas e Equipamentos</t>
  </si>
  <si>
    <t>B.1 Materiais APLICADOS NO LOCAL</t>
  </si>
  <si>
    <t>Referência</t>
  </si>
  <si>
    <t>Total de B2 =</t>
  </si>
  <si>
    <t>Total de B1 =</t>
  </si>
  <si>
    <t>ISS sem materiais</t>
  </si>
  <si>
    <t>Base de cálculo</t>
  </si>
  <si>
    <t>Serviço de engenharia?</t>
  </si>
  <si>
    <t>Total de D =</t>
  </si>
  <si>
    <t>DESCRIÇÃO DOS COMPONENTES</t>
  </si>
  <si>
    <t>D. Administração Local</t>
  </si>
  <si>
    <t>Unid.</t>
  </si>
  <si>
    <t>Valor a Descontar</t>
  </si>
  <si>
    <t>TABELA DE ENCARGOS SOCIAIS - ACT / CCT / Outra</t>
  </si>
  <si>
    <t>ACT-CCT-Outra</t>
  </si>
  <si>
    <t>C4</t>
  </si>
  <si>
    <t>Aviso Prévio Trabalhado</t>
  </si>
  <si>
    <t>B7</t>
  </si>
  <si>
    <t>B8</t>
  </si>
  <si>
    <t>Licença Maternidade</t>
  </si>
  <si>
    <t>Licença Paternidade</t>
  </si>
  <si>
    <t>GRUPO D  - Incidências Cumulativas</t>
  </si>
  <si>
    <t>Despesas Reembolsáveis?</t>
  </si>
  <si>
    <t>Adminstração Local?</t>
  </si>
  <si>
    <t>Emprego de materiais?</t>
  </si>
  <si>
    <t>PIS</t>
  </si>
  <si>
    <t>Cofins</t>
  </si>
  <si>
    <t xml:space="preserve"> </t>
  </si>
  <si>
    <t>1- Lucro Presumido</t>
  </si>
  <si>
    <t>2- Lucro Real</t>
  </si>
  <si>
    <t>3- Outro</t>
  </si>
  <si>
    <t>Duração</t>
  </si>
  <si>
    <t>Dias</t>
  </si>
  <si>
    <t>Meses</t>
  </si>
  <si>
    <t>Anos</t>
  </si>
  <si>
    <t>Indice</t>
  </si>
  <si>
    <t>Duração do Contrato:</t>
  </si>
  <si>
    <t xml:space="preserve">Valor da mão de obra </t>
  </si>
  <si>
    <t xml:space="preserve"> Total dos Encargos Sociais </t>
  </si>
  <si>
    <t>V-9.3</t>
  </si>
  <si>
    <t>OBJETO</t>
  </si>
  <si>
    <t>ORÇAMENTO BÁSICO</t>
  </si>
  <si>
    <t>ITEM</t>
  </si>
  <si>
    <t>UNID.</t>
  </si>
  <si>
    <t>QUANT.</t>
  </si>
  <si>
    <t>PREÇO R$</t>
  </si>
  <si>
    <t>UNITÁRIO</t>
  </si>
  <si>
    <t>TOTAL</t>
  </si>
  <si>
    <t>01</t>
  </si>
  <si>
    <t>UM</t>
  </si>
  <si>
    <t>CRONOGRAMA FINANCEIRO – DESEMBOLSO MENSAL</t>
  </si>
  <si>
    <t>SERVIÇO:</t>
  </si>
  <si>
    <t>EVENTO</t>
  </si>
  <si>
    <t>PERC.</t>
  </si>
  <si>
    <t>VALOR R$</t>
  </si>
  <si>
    <t>Capacete</t>
  </si>
  <si>
    <t>Total</t>
  </si>
  <si>
    <t>Transporte (equipe )</t>
  </si>
  <si>
    <t>EPI+ASO+Trein&amp;PlanSeg(eqp)</t>
  </si>
  <si>
    <t>CompAux</t>
  </si>
  <si>
    <t>Alimentação (equipe)</t>
  </si>
  <si>
    <t>mês</t>
  </si>
  <si>
    <t>ÚNICO</t>
  </si>
  <si>
    <t>1</t>
  </si>
  <si>
    <t>UND</t>
  </si>
  <si>
    <t>ferramentas, rolo, lixa e etc</t>
  </si>
  <si>
    <t>vb</t>
  </si>
  <si>
    <t>MEDIÇÃO TOTAL</t>
  </si>
  <si>
    <t>EXECUÇÃO DE SERVIÇOS DEINSTALAÇÃO DE PAINEL SOLAR</t>
  </si>
  <si>
    <t>PROFISSIONAL</t>
  </si>
  <si>
    <t>SALÁRIO</t>
  </si>
  <si>
    <t xml:space="preserve">ENCARGOS </t>
  </si>
  <si>
    <t>Técnico Eletrotécnico</t>
  </si>
  <si>
    <t>ADICIONAL PERICULOSIDADE (%)</t>
  </si>
  <si>
    <t>VL. SALÁRIO MÍNIMO ATUAL (R$)</t>
  </si>
  <si>
    <t>ENCARGOS - FUNCIONÁRIO ASSALARIADO</t>
  </si>
  <si>
    <t>ENCARGOS FIXOS:</t>
  </si>
  <si>
    <t>INSS</t>
  </si>
  <si>
    <t>FGTS</t>
  </si>
  <si>
    <t>FÉRIAS E 1/3 PROPORCIONAL</t>
  </si>
  <si>
    <t>13° SALÁRIO</t>
  </si>
  <si>
    <t>ENCARGOS PROVISIONADOS</t>
  </si>
  <si>
    <t>FGTS INDENIZATÓRIO</t>
  </si>
  <si>
    <t>ENCARGOS VARIÁVEIS</t>
  </si>
  <si>
    <t>FALTAS LEGAIS</t>
  </si>
  <si>
    <t>LICENÇA MATERNIDADE</t>
  </si>
  <si>
    <t>LICENÇA PATERNIDADE</t>
  </si>
  <si>
    <t>AVISO PRÉVIO INDENIZADO</t>
  </si>
  <si>
    <t>VALE TRANSPORTE (SE USAR)</t>
  </si>
  <si>
    <t>VALE REFEIÇÃO</t>
  </si>
  <si>
    <t>ASSITENCIA MÉDICA</t>
  </si>
  <si>
    <t>UNIFORME/EPI</t>
  </si>
  <si>
    <t>BENEFÍCIOS E DESPESAS INDIRETAS (ENGENHEIRO)</t>
  </si>
  <si>
    <t>Eng. Eletricista</t>
  </si>
  <si>
    <t>BENEFÍCIOS E DESPESAS INDIRETAS (Técnico Eletrotécnico)</t>
  </si>
  <si>
    <t>HORAS/DIA</t>
  </si>
  <si>
    <t>DIAS NO MÊS</t>
  </si>
  <si>
    <t>h</t>
  </si>
  <si>
    <t>dia</t>
  </si>
  <si>
    <t>horas/mês</t>
  </si>
  <si>
    <t>QUANT. DE HORAS POR MÊS</t>
  </si>
  <si>
    <t>QUANT. DE HORAS/DIA (h)</t>
  </si>
  <si>
    <t>CUSTO MENSAL POR HORA TRABALHADA</t>
  </si>
  <si>
    <t>CUSTO DA MÃO DE OBRA/MÊS (R$)</t>
  </si>
  <si>
    <t>Serviços Gerais</t>
  </si>
  <si>
    <t>Eletricista</t>
  </si>
  <si>
    <t>Téc. Eletrotécnico</t>
  </si>
  <si>
    <t>VL. SALÁRIO+ ENCARGOS (R$)</t>
  </si>
  <si>
    <t xml:space="preserve">SERVIÇO </t>
  </si>
  <si>
    <t>TEMPO DEDICADO (HORA/DIA)</t>
  </si>
  <si>
    <t>Ajudante de Eletricista</t>
  </si>
  <si>
    <t>TEMPO DEDICADO MIN/DIA</t>
  </si>
  <si>
    <t>VL DO EQUIPAM. (U$)</t>
  </si>
  <si>
    <t>VL DO EQUIPAM. (R$)</t>
  </si>
  <si>
    <t>Vl do HOMEM/ HORA DIA (R$/Hh)</t>
  </si>
  <si>
    <t>EQUIPAMENTO</t>
  </si>
  <si>
    <t>MÃO DE OBRA</t>
  </si>
  <si>
    <t xml:space="preserve">CUSTO DA MÃO DE OBRA DIA (R$) </t>
  </si>
  <si>
    <t>QUANT. A INSTALAR</t>
  </si>
  <si>
    <t xml:space="preserve">CUSTO TOT. DA MÃO DE OBRA DIA (R$) </t>
  </si>
  <si>
    <t xml:space="preserve">VALOR TOT. EQUIPAM. (R$) </t>
  </si>
  <si>
    <t>Planilha de Cálculo de BDI</t>
  </si>
  <si>
    <t>Custos Indiretos</t>
  </si>
  <si>
    <t>Administração do Escritório Central</t>
  </si>
  <si>
    <t>Administração Local</t>
  </si>
  <si>
    <t>Despesa Financeira</t>
  </si>
  <si>
    <t>Pós-Obras</t>
  </si>
  <si>
    <t>Valor do Risco da Obra</t>
  </si>
  <si>
    <t>Impostos</t>
  </si>
  <si>
    <t>Margem de Lucro Previsto</t>
  </si>
  <si>
    <t>Seguro</t>
  </si>
  <si>
    <t>Reserva Técnica</t>
  </si>
  <si>
    <t>BITOLA (mm²)</t>
  </si>
  <si>
    <t>Cabo Solar, Preto ou Vermelho, classe 5 , 4mm², 1,8KV CC/ até 1KV CA, temperatura de operação até 90°</t>
  </si>
  <si>
    <t>CAPAC. DE CONDUÇÃO Iz (A)</t>
  </si>
  <si>
    <t>DIST. L (m)</t>
  </si>
  <si>
    <t xml:space="preserve">CABO SOLAR </t>
  </si>
  <si>
    <t>Cabo Solar, Preto ou Vermelho, classe 5 , 6mm², 1,8KV CC/ até 1KV CA, temperatura de operação até 90°</t>
  </si>
  <si>
    <t>Cabo Solar, Preto ou Vermelho, classe 5 , 10mm², 1,8KV CC/ até 1KV CA, temperatura de operação até 90°</t>
  </si>
  <si>
    <t>Cabo Solar, Preto ou Vermelho, classe 5 , 16mm², 1,8KV CC/ até 1KV CA, temperatura de operação até 90°</t>
  </si>
  <si>
    <t>Cabo Solar, Preto ou Vermelho, classe 5 , 25mm², 1,8KV CC/ até 1KV CA, temperatura de operação até 90°</t>
  </si>
  <si>
    <t>QUANT. A INSTALAR (m)</t>
  </si>
  <si>
    <t>VL DO SERVIÇO. (R$)</t>
  </si>
  <si>
    <t>UC</t>
  </si>
  <si>
    <t>Usina</t>
  </si>
  <si>
    <t>1mw</t>
  </si>
  <si>
    <t>750kw</t>
  </si>
  <si>
    <t>75kw</t>
  </si>
  <si>
    <t>Kit Solar</t>
  </si>
  <si>
    <t>Painel 400wp</t>
  </si>
  <si>
    <t>Inversor Growatt 75kw</t>
  </si>
  <si>
    <t xml:space="preserve">Projeto e Instalação </t>
  </si>
  <si>
    <t>Geração em Kwh</t>
  </si>
  <si>
    <t>Total do Investimento</t>
  </si>
  <si>
    <t>24kw</t>
  </si>
  <si>
    <t>48kw</t>
  </si>
  <si>
    <t>Inversor Refusol 25kw</t>
  </si>
  <si>
    <t>TOTAL DO INVESTIMNETO (MATERIAL + MÃO DE OBRA)</t>
  </si>
  <si>
    <t>%</t>
  </si>
  <si>
    <t>Auxiliar de Eletricista</t>
  </si>
  <si>
    <t>% Custos Indiretos da Obra</t>
  </si>
  <si>
    <t>SubTotal</t>
  </si>
  <si>
    <t>Outros Custos</t>
  </si>
  <si>
    <t>% Outros Custos  da Obra</t>
  </si>
  <si>
    <t>% BDI</t>
  </si>
  <si>
    <t>TOT. SERVIÇO +MÃO DE OBRA COM BDI (R$)</t>
  </si>
  <si>
    <t>BENEFÍCIOS E DESPESAS INDIRETAS (Aux. de Eletricista)</t>
  </si>
  <si>
    <t>ELETRICISTA</t>
  </si>
  <si>
    <t>DETALHAMENTO DE BENEFÍCIOS E DESPESAS INDIRETAS (BDI)</t>
  </si>
  <si>
    <t>DISCRIMINAÇÃO</t>
  </si>
  <si>
    <t>Riscos</t>
  </si>
  <si>
    <t>GRUPO B</t>
  </si>
  <si>
    <t>Seguro e Garantia</t>
  </si>
  <si>
    <t>Lucro Bruto</t>
  </si>
  <si>
    <t>Despesas Financeiras</t>
  </si>
  <si>
    <t>GRUPO C</t>
  </si>
  <si>
    <t>6.1</t>
  </si>
  <si>
    <t>Pis</t>
  </si>
  <si>
    <t>6.2</t>
  </si>
  <si>
    <t>6.3</t>
  </si>
  <si>
    <t>CSLL</t>
  </si>
  <si>
    <t>6.4</t>
  </si>
  <si>
    <t>ISS</t>
  </si>
  <si>
    <t xml:space="preserve">BDI     </t>
  </si>
  <si>
    <t>FÓRMULA DE CÁLCULO DO BDI:</t>
  </si>
  <si>
    <t xml:space="preserve">Conforme ACÓRDÃO Nº 2622/2013 
–
 TCU 
–
 Plenário </t>
  </si>
  <si>
    <t>Subestação e Instalações AC</t>
  </si>
  <si>
    <t>Perc. SE e AC</t>
  </si>
  <si>
    <t>SE e AC 1MWp</t>
  </si>
  <si>
    <t>SE e AC 750Wp</t>
  </si>
  <si>
    <t>SE e AC 75Wp</t>
  </si>
  <si>
    <t>BONIFICAÇÃO E DESPESAS INDIRETAS (B.D.I)</t>
  </si>
  <si>
    <t>B.D.I CONFORME ACÓRDÃO 2622 - PLENÁRIO</t>
  </si>
  <si>
    <t>COMPONENTES</t>
  </si>
  <si>
    <t>RISCO ( R)</t>
  </si>
  <si>
    <t>LUCRO (L)</t>
  </si>
  <si>
    <t>TRIBUTOS (T)</t>
  </si>
  <si>
    <t>PIS (PROGRAMA DE INSCRIÇÃO SOCIAL)</t>
  </si>
  <si>
    <t>COFINS (CONTRIBUIÇÃO PARA O FINANCIAMENTO DA SEGURIDADE SOCIAL)</t>
  </si>
  <si>
    <t>ISS (IMPOSTO SOBRE SERVIÇO)</t>
  </si>
  <si>
    <t>CPRB (CONTRIBUIÇÃO PREVIDENCIÁRIA SOBRE A RECEITA BRUTA)</t>
  </si>
  <si>
    <t xml:space="preserve">TOTAL </t>
  </si>
  <si>
    <t>CÁLCULO DO BDI - BONIFICAÇÕES E DESPESAS INDIRETAS</t>
  </si>
  <si>
    <t>TIPO DE OBRA</t>
  </si>
  <si>
    <t>ÍNDICE (%)</t>
  </si>
  <si>
    <t>DENOMINAÇÃO</t>
  </si>
  <si>
    <t>1.0</t>
  </si>
  <si>
    <t>Taxa de administração central</t>
  </si>
  <si>
    <t>AC</t>
  </si>
  <si>
    <t>2.0</t>
  </si>
  <si>
    <t>Taxa de seguro e garantia</t>
  </si>
  <si>
    <t>S+G</t>
  </si>
  <si>
    <t>3.0</t>
  </si>
  <si>
    <t>Taxa da margem de incerteza (risco) do empreendimento</t>
  </si>
  <si>
    <t>R</t>
  </si>
  <si>
    <t>4.0</t>
  </si>
  <si>
    <t>Taxas de despesas financeiros</t>
  </si>
  <si>
    <t>DF</t>
  </si>
  <si>
    <t>5.0</t>
  </si>
  <si>
    <t>Taxa de margem de contribuição (benefício, lucro ou remuneração )</t>
  </si>
  <si>
    <t>L</t>
  </si>
  <si>
    <t>6.0</t>
  </si>
  <si>
    <t>Taxa de custos tributários (municipais, estaduais e federais)</t>
  </si>
  <si>
    <t>I</t>
  </si>
  <si>
    <t>COFINS -  Contribuição para o Financiamento da Seguridade Social</t>
  </si>
  <si>
    <t>PIS - Programa de Integração Social</t>
  </si>
  <si>
    <t>ISS - Imposto Sobre Serviço</t>
  </si>
  <si>
    <t xml:space="preserve">CPRB - Contribuição Previdênciária sobre a Receita Bruta </t>
  </si>
  <si>
    <t>FÓRMULA DE CÁLCULO DO BDI :</t>
  </si>
  <si>
    <t>BDI = { [ (1+AC+S+G+R) * (1+DF) * (1+L) ] / (1-I) } - 1</t>
  </si>
  <si>
    <t>OBSERVAÇÕES:</t>
  </si>
  <si>
    <t>2) Os tributos IRPJ e CSLL não devem integrar o cálculo do BDI, nem tampouco a planilha de custo direto, por se constituírem em tributos de natureza direta e personalística, que oneram pessoalmente o contratado, não devendo o ônus tributário ser repassado à contratante.</t>
  </si>
  <si>
    <t>MÍNIMO</t>
  </si>
  <si>
    <t>MÉDIA</t>
  </si>
  <si>
    <t>MÁXIMO</t>
  </si>
  <si>
    <t>6) A Mobilização e Desmobilização deverá ser discriminada na planilha de custo direto com o percentual máximo de 2,66% regido pela INSTRUÇÃO DE SERVIÇOS n º 01/2004 do DNIT, quando for o caso.</t>
  </si>
  <si>
    <t xml:space="preserve">3) O tributo ISS para obra de engenharia deve ser considerado entre 2,0 a 5,0% conforme legislação tributária municipal. </t>
  </si>
  <si>
    <t xml:space="preserve">BDI  =  </t>
  </si>
  <si>
    <t>CUSTO ADM LOCAL %</t>
  </si>
  <si>
    <t>TOT. SERVIÇO +MÃO DE OBRA COM BDI+ADM LOCAL (R$)</t>
  </si>
  <si>
    <t>48KW</t>
  </si>
  <si>
    <t>75KW</t>
  </si>
  <si>
    <t>750KW</t>
  </si>
  <si>
    <t>1MW</t>
  </si>
  <si>
    <t>PROJETO E INSTALAÇÃO</t>
  </si>
  <si>
    <t>48 KWp</t>
  </si>
  <si>
    <t>24 KWp</t>
  </si>
  <si>
    <t xml:space="preserve"> 75Wp</t>
  </si>
  <si>
    <t xml:space="preserve"> 750 KWp</t>
  </si>
  <si>
    <t xml:space="preserve"> 1MWp</t>
  </si>
  <si>
    <t>R$/Wp</t>
  </si>
  <si>
    <t>CUSTO DA MÃO DE OBRA DIA (R$) SINAPI-AM</t>
  </si>
  <si>
    <t xml:space="preserve">DESCRIÇÃO DE EQUIPAMENTOS </t>
  </si>
  <si>
    <t>Bolsa de cintura para ferramentas</t>
  </si>
  <si>
    <t>Cinto Paraquedista c/ 5 pontos de ancoragem</t>
  </si>
  <si>
    <t>Talabarte em Y em Poliester com conector</t>
  </si>
  <si>
    <t>Talabarte de Posicionamento</t>
  </si>
  <si>
    <t>Equipamento trava quedas para corda de 12mm</t>
  </si>
  <si>
    <t>Linha de Vida MÓVEL 15m</t>
  </si>
  <si>
    <t>Escada de alumínio extensiva dupla com 10x 2 degraus, de 5m (estendida) e 2,76m (modo pintor)</t>
  </si>
  <si>
    <t>Alicate Decapador para cabos 2,5mm², 4mm² e 6mm²</t>
  </si>
  <si>
    <t xml:space="preserve">Alicate de Corte </t>
  </si>
  <si>
    <t>Serra Mármore Tipo Makita 1500W</t>
  </si>
  <si>
    <t>Martelete combinado rompedor 800W</t>
  </si>
  <si>
    <t>Parafusadeira a bateria 12V</t>
  </si>
  <si>
    <t>Furadeira de Impacto</t>
  </si>
  <si>
    <t>Marreta de 2KG</t>
  </si>
  <si>
    <t>talhadeira</t>
  </si>
  <si>
    <t>Martelo</t>
  </si>
  <si>
    <t xml:space="preserve">Alicate Universal </t>
  </si>
  <si>
    <t xml:space="preserve">Alicate de Pressão </t>
  </si>
  <si>
    <t xml:space="preserve">Alicate de Bico </t>
  </si>
  <si>
    <t>Chave de Fenda pequena</t>
  </si>
  <si>
    <t>Chave de Fenda média</t>
  </si>
  <si>
    <t>Chave de Fenda grande</t>
  </si>
  <si>
    <t>Chave Philips P</t>
  </si>
  <si>
    <t>Chave Philips M</t>
  </si>
  <si>
    <t>Chave Philips G</t>
  </si>
  <si>
    <t xml:space="preserve">Chave de Boca n.14/15 </t>
  </si>
  <si>
    <t xml:space="preserve">Chave de Boca n.10 </t>
  </si>
  <si>
    <t xml:space="preserve">Chave de Boca n.11 </t>
  </si>
  <si>
    <t xml:space="preserve">Chave Mista n.8 </t>
  </si>
  <si>
    <t>Chave Mista n. 10</t>
  </si>
  <si>
    <t>CHAVE AMERICANA 150 mm</t>
  </si>
  <si>
    <t>Multímetro Digital Et. 1002</t>
  </si>
  <si>
    <t>Jogo Chave Estrela corneta</t>
  </si>
  <si>
    <t>Ferro de solda 220v 60W-L</t>
  </si>
  <si>
    <t xml:space="preserve">Trena 5 metros </t>
  </si>
  <si>
    <t>Luva de Malha</t>
  </si>
  <si>
    <t>Protetor Auricular</t>
  </si>
  <si>
    <t>VL UNIT. DO EQUIPAM. (R$)</t>
  </si>
  <si>
    <t>Correção de Preço %</t>
  </si>
  <si>
    <t>BDI MATERIAIS (%)</t>
  </si>
  <si>
    <t>QTD</t>
  </si>
  <si>
    <t xml:space="preserve">VALOR </t>
  </si>
  <si>
    <t>Depreciação
(Mês)</t>
  </si>
  <si>
    <t>Vlr
Depreciação</t>
  </si>
  <si>
    <t>Óculos Cinza de proteção</t>
  </si>
  <si>
    <t>BOTA CANO CURTO BICO REFORÇADO (CALÇADO DE SEGURANÇA)</t>
  </si>
  <si>
    <t>Calça de brim</t>
  </si>
  <si>
    <t xml:space="preserve">Camisa brim </t>
  </si>
  <si>
    <t>Crachá de identificação</t>
  </si>
  <si>
    <t>AUX. DE ELETRICISTA</t>
  </si>
  <si>
    <t>ENG. ELETRICISTA</t>
  </si>
  <si>
    <t>Camera infravemelho - Termovisor</t>
  </si>
  <si>
    <t xml:space="preserve">notbook </t>
  </si>
  <si>
    <t>camisa social (fardamento)</t>
  </si>
  <si>
    <t>TOT. EQUIPAMENTO COM BDI (R$)</t>
  </si>
  <si>
    <t xml:space="preserve">CUSTO TOT. DA MÃO DE OBRA C/ BDI (R$) </t>
  </si>
  <si>
    <t>TOT. EQUIPAM + SERVIÇO COM BDI (R$)</t>
  </si>
  <si>
    <t>TOTAL (EQUIPAMENTO+MÃO DE OBRA)</t>
  </si>
  <si>
    <t>BDI SERVIÇOS (%)</t>
  </si>
  <si>
    <t>TOT. EQUIPAM + SERVIÇO (R$)</t>
  </si>
  <si>
    <t>CUSTO DA MÃO DE OBRA DIA (R$)</t>
  </si>
  <si>
    <t>FERRAMENTAS/EPI´S</t>
  </si>
  <si>
    <t>BENEFÍCIOS E DESPESAS INDIRETAS (ELETRICISTA)</t>
  </si>
  <si>
    <t>ORÇAMENTO POR UNIDADE</t>
  </si>
  <si>
    <t>UNIDADE 01</t>
  </si>
  <si>
    <t>UNIDADE 02</t>
  </si>
  <si>
    <t>UNIDADE 03</t>
  </si>
  <si>
    <t>UNIDADE 04</t>
  </si>
  <si>
    <t>UNIDADE 05</t>
  </si>
  <si>
    <t>OUTRAS AQUISIÇÕES</t>
  </si>
  <si>
    <t>TOT. EQUIPAMENTO +MÃO DE OBRA COM BDI+ADM LOCAL (R$)</t>
  </si>
  <si>
    <t xml:space="preserve">ACORDO COLET.  </t>
  </si>
  <si>
    <t>Instalação de Disjuntor 10 A, 2 Polos, curva C</t>
  </si>
  <si>
    <t>Instalação de Disjuntor 40 A, 3 Polos, curva C</t>
  </si>
  <si>
    <t>Instalação de Disjuntor 50 A, 3 Polos, curva C</t>
  </si>
  <si>
    <t>Instalação de Disjuntor 70 A, 3 Polos, curva C</t>
  </si>
  <si>
    <t>Instalação de Disjuntor 80 A, 3 Polos, curva C</t>
  </si>
  <si>
    <t>Instalação de Disjuntor 100 A, 3 Polos, curva C</t>
  </si>
  <si>
    <t>Instalação de Disjuntor caixa moldada Trip 100 A</t>
  </si>
  <si>
    <t>Instalação de Disjuntor caixa moldada Trip 150 A</t>
  </si>
  <si>
    <t>Instalação de Disjuntor caixa moldada Trip 200 A</t>
  </si>
  <si>
    <t>Instalação de Disjuntor caixa moldada Trip 250 A</t>
  </si>
  <si>
    <t>Instalação de Disjuntor 32 A, 2 Polos, curva C</t>
  </si>
  <si>
    <t>Instalação de Disjuntor 32 A, 3 Polos, curva C</t>
  </si>
  <si>
    <t>Instalação de Disjuntor 63 A, 3 Polos, curva C</t>
  </si>
  <si>
    <t>Instalação de Disjuntor 25 A, 2 Polos, curva C</t>
  </si>
  <si>
    <t>Instalação de Disjuntor 25 A, 3 Polos, curva C</t>
  </si>
  <si>
    <t>Instalação de Disjuntor caixa moldada Trip 125 A</t>
  </si>
  <si>
    <t>Instalação de Disjuntor caixa moldada Trip 225 A</t>
  </si>
  <si>
    <t xml:space="preserve"> Instalação de Disjuntor Motor 3P 25 A</t>
  </si>
  <si>
    <t>Instalação de Disjuntor 16 A, 2 Polos, curva C</t>
  </si>
  <si>
    <t>ADICIONAL INSALUBRIDADE</t>
  </si>
  <si>
    <t>Vl do HOMEM/ HORA (R$/H)</t>
  </si>
  <si>
    <t>ADMINISTRAÇÃO CENTRAL (AC)</t>
  </si>
  <si>
    <t>DESPESAS FINANCEIRAS (DF)</t>
  </si>
  <si>
    <t>GARANTIA/SEGURO (S+G)</t>
  </si>
  <si>
    <t>LÂMPADA</t>
  </si>
  <si>
    <t>POTÊNCIA (W)</t>
  </si>
  <si>
    <t>FLUXO LUMINOSO
(lm)</t>
  </si>
  <si>
    <t>TEMPERATURA DE COR
(K)</t>
  </si>
  <si>
    <t>Instalação de Lâmpada Tubular LED T5, Potência 9W, 4000K, 55cm, 950 lm</t>
  </si>
  <si>
    <t>Instalação de Lâmpada Tubular LED T5, Potência 18W, 4000K, 115cm, 1900 lm</t>
  </si>
  <si>
    <t>Instalação de Lâmpada Tubular LED T5, Potência 24W, 4000K, 115cm, 3240 lm</t>
  </si>
  <si>
    <t>Instalação de Lâmpada Tubular LED T8, Potência 9W, 4000K, 60cm, 900 lm</t>
  </si>
  <si>
    <t>Instalação de Lâmpada Tubular LED T8, Potência 9W, 4000K, 120cm, 900 lm</t>
  </si>
  <si>
    <t>Instalação de Lâmpada Tubular LED T8, Potência 18W, 4000K, 120cm, 1850 lm</t>
  </si>
  <si>
    <t>Instalação de Lâmpada Tubular LED T8, Potência 24W, 6500K, 120cm, 2100 lm</t>
  </si>
  <si>
    <t>Instalação de Lâmpada Tubular LED T8, Potência 40W, 4000K, 240cm, 3800 lm</t>
  </si>
  <si>
    <t>Instalação de Lâmpada Tubular LED T10, Potência 20W, 6400K, 60cm, 1050 lm</t>
  </si>
  <si>
    <t>Instalação de Lâmpada Tubular LED T10, Potência 40W, 6400K, 120cm, 2500 lm</t>
  </si>
  <si>
    <t>Instalação de Lâmpada LED Bulbo, Potência 6W, 3000K, 560 lm</t>
  </si>
  <si>
    <t>Instalação de Lâmpada LED Bulbo, Potência 6W, 6500K, 560 lm</t>
  </si>
  <si>
    <t>Instalação de Lâmpada LED Bulbo, Potência 9W, 3000K, 806 lm</t>
  </si>
  <si>
    <t>Instalação de Lâmpada LED Bulbo, Potência 9W, 6500K, 806 lm</t>
  </si>
  <si>
    <t>Instalação de Lâmpada LED Bulbo, Potência 12W, 3000K, 1060 lm</t>
  </si>
  <si>
    <t>Instalação de Lâmpada LED Bulbo, Potência 12W, 6500K, 1060 lm</t>
  </si>
  <si>
    <t>Instalação de Lâmpada LED Bulbo, Potência 14W, 3000K, 1521 lm</t>
  </si>
  <si>
    <t>Instalação de Lâmpada LED Bulbo, Potência 14W, 6500K,1600 lm</t>
  </si>
  <si>
    <t>Instalação de Lâmpada LED Bulbo, Potência 15W, 3000K, 1320 lm</t>
  </si>
  <si>
    <t>Instalação de Lâmpada LED Bulbo, Potência 15W, 6500K, 1320 lm</t>
  </si>
  <si>
    <t>ILUMINAÇÃO DE EMERGÊNCIA</t>
  </si>
  <si>
    <t>AUTONOMIA
(h)</t>
  </si>
  <si>
    <t>Instalação de Iluminação Emergência Autônoma 30 LEDs</t>
  </si>
  <si>
    <t>Instalação de Iluminação Emergência Autônoma 60 LEDs</t>
  </si>
  <si>
    <t>Instalação de Iluminação Emergência LED Tubular 30 LEDs</t>
  </si>
  <si>
    <t>DISJUNTOR</t>
  </si>
  <si>
    <t>QTD. LÂMPADAS</t>
  </si>
  <si>
    <t>OUTROS</t>
  </si>
  <si>
    <t>SERVIÇO DE DESTINAÇÃO</t>
  </si>
  <si>
    <t>Serviço de destinação de lâmpada incandescente</t>
  </si>
  <si>
    <t>Serviço de destinação de lâmpada fluorescente</t>
  </si>
  <si>
    <t>Serviço de destinação de reator eletrônico</t>
  </si>
  <si>
    <t>Serviço de destinação de lâmpada halógena</t>
  </si>
  <si>
    <t>Aluguel de contêiner para armazenamento temporário de lâmpadas</t>
  </si>
  <si>
    <t>Fita de auto fusão</t>
  </si>
  <si>
    <t>ELETROTÉCNICO</t>
  </si>
  <si>
    <t>MÚLTIPLO PISO SALARIAL</t>
  </si>
  <si>
    <t>SALÁRIO+ PERICULOSIDADE + INSALUBRIDADE (R$)</t>
  </si>
  <si>
    <t>CUSTO DO HH 
(R$)</t>
  </si>
  <si>
    <t xml:space="preserve">CÁLCULO DO VALOR DE HOMEM-HORA  </t>
  </si>
  <si>
    <t>Correção de Vl. Mão de Obra</t>
  </si>
  <si>
    <r>
      <t>Construção de Edifícios</t>
    </r>
    <r>
      <rPr>
        <sz val="14"/>
        <rFont val="Calibri"/>
        <family val="2"/>
      </rPr>
      <t xml:space="preserve"> </t>
    </r>
  </si>
  <si>
    <r>
      <t>Construção de Rodovias e Ferrovias</t>
    </r>
    <r>
      <rPr>
        <sz val="14"/>
        <rFont val="Calibri"/>
        <family val="2"/>
      </rPr>
      <t xml:space="preserve"> </t>
    </r>
  </si>
  <si>
    <r>
      <t>Abastecimento de Água, Coleta de Esgoto e Construções Correlatas</t>
    </r>
    <r>
      <rPr>
        <sz val="14"/>
        <rFont val="Calibri"/>
        <family val="2"/>
      </rPr>
      <t xml:space="preserve"> </t>
    </r>
  </si>
  <si>
    <r>
      <t>Construção e Manutenção de Estações e Redes de Distribuição de Energia Elétrica</t>
    </r>
    <r>
      <rPr>
        <sz val="14"/>
        <rFont val="Calibri"/>
        <family val="2"/>
      </rPr>
      <t xml:space="preserve"> </t>
    </r>
    <r>
      <rPr>
        <sz val="11"/>
        <rFont val="Calibri"/>
        <family val="2"/>
      </rPr>
      <t xml:space="preserve"> Obras Portuárias, Marítimas e Fluviais</t>
    </r>
    <r>
      <rPr>
        <sz val="14"/>
        <rFont val="Calibri"/>
        <family val="2"/>
      </rPr>
      <t xml:space="preserve"> </t>
    </r>
  </si>
  <si>
    <r>
      <t>Fornecimento de Materiais e Equipamentos</t>
    </r>
    <r>
      <rPr>
        <sz val="14"/>
        <rFont val="Calibri"/>
        <family val="2"/>
      </rPr>
      <t xml:space="preserve"> </t>
    </r>
  </si>
  <si>
    <t>SELECIONE O TIPO DE OBRA</t>
  </si>
  <si>
    <t xml:space="preserve">Construção de Edifícios </t>
  </si>
  <si>
    <t>VL. U$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</si>
</sst>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R$&quot;#,##0.00_);\(&quot;R$&quot;#,##0.00\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&quot;R$ &quot;#,##0.00"/>
    <numFmt numFmtId="170" formatCode="0.0000%"/>
    <numFmt numFmtId="171" formatCode="_(* #,##0_);_(* \(#,##0\);_(* &quot;-&quot;??_);_(@_)"/>
    <numFmt numFmtId="172" formatCode="00"/>
    <numFmt numFmtId="173" formatCode="_ \ @"/>
    <numFmt numFmtId="174" formatCode="0.0%"/>
    <numFmt numFmtId="175" formatCode="_-[$R$-416]\ * #,##0.00_-;\-[$R$-416]\ * #,##0.00_-;_-[$R$-416]\ * &quot;-&quot;??_-;_-@_-"/>
    <numFmt numFmtId="176" formatCode="&quot;R$&quot;\ #,##0"/>
    <numFmt numFmtId="177" formatCode="#,##0_ ;\-#,##0\ "/>
    <numFmt numFmtId="178" formatCode="_-[$$-409]* #,##0.00_ ;_-[$$-409]* \-#,##0.00\ ;_-[$$-409]* &quot;-&quot;??_ ;_-@_ "/>
    <numFmt numFmtId="179" formatCode="[$R$-416]&quot; &quot;#,##0.00;[Red]&quot;-&quot;[$R$-416]&quot; &quot;#,##0.00"/>
    <numFmt numFmtId="180" formatCode="&quot;R$&quot;\ #,##0.00"/>
    <numFmt numFmtId="181" formatCode="#,##0.00_ ;\-#,##0.00\ "/>
    <numFmt numFmtId="182" formatCode="#,##0.0000"/>
    <numFmt numFmtId="183" formatCode="#,##0.00000"/>
    <numFmt numFmtId="184" formatCode="_(* #,##0.00_);_(* \(#,##0.00\);_(* \-??_);_(@_)"/>
    <numFmt numFmtId="185" formatCode="_(* #,##0.000000_);_(* \(#,##0.000000\);_(* &quot;-&quot;??_);_(@_)"/>
    <numFmt numFmtId="186" formatCode="#,##0.00_ ;[Red]\-#,##0.00\ "/>
    <numFmt numFmtId="187" formatCode="0.0"/>
    <numFmt numFmtId="188" formatCode="0.0000000000"/>
    <numFmt numFmtId="189" formatCode="0.00000000000"/>
    <numFmt numFmtId="190" formatCode="0.0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00000"/>
    <numFmt numFmtId="199" formatCode="[$-416]dddd\,\ d&quot; de &quot;mmmm&quot; de &quot;yyyy"/>
    <numFmt numFmtId="200" formatCode="_(* #,##0.000_);_(* \(#,##0.000\);_(* &quot;-&quot;??_);_(@_)"/>
    <numFmt numFmtId="201" formatCode="_(* #,##0.0_);_(* \(#,##0.0\);_(* &quot;-&quot;??_);_(@_)"/>
    <numFmt numFmtId="202" formatCode="_-[$R$-416]\ * #,##0.0_-;\-[$R$-416]\ * #,##0.0_-;_-[$R$-416]\ * &quot;-&quot;??_-;_-@_-"/>
    <numFmt numFmtId="203" formatCode="_-[$R$-416]\ * #,##0_-;\-[$R$-416]\ * #,##0_-;_-[$R$-416]\ * &quot;-&quot;??_-;_-@_-"/>
    <numFmt numFmtId="204" formatCode="_(&quot;R$&quot;* #,##0.0_);_(&quot;R$&quot;* \(#,##0.0\);_(&quot;R$&quot;* &quot;-&quot;??_);_(@_)"/>
    <numFmt numFmtId="205" formatCode="_(&quot;R$&quot;* #,##0.000_);_(&quot;R$&quot;* \(#,##0.000\);_(&quot;R$&quot;* &quot;-&quot;??_);_(@_)"/>
    <numFmt numFmtId="206" formatCode="_(&quot;R$&quot;* #,##0.0000_);_(&quot;R$&quot;* \(#,##0.0000\);_(&quot;R$&quot;* &quot;-&quot;??_);_(@_)"/>
    <numFmt numFmtId="207" formatCode="_(&quot;R$&quot;* #,##0.00000_);_(&quot;R$&quot;* \(#,##0.00000\);_(&quot;R$&quot;* &quot;-&quot;??_);_(@_)"/>
    <numFmt numFmtId="208" formatCode="_-[$R$-416]\ * #,##0.000_-;\-[$R$-416]\ * #,##0.000_-;_-[$R$-416]\ * &quot;-&quot;??_-;_-@_-"/>
    <numFmt numFmtId="209" formatCode="_-[$R$-416]\ * #,##0.0000_-;\-[$R$-416]\ * #,##0.0000_-;_-[$R$-416]\ * &quot;-&quot;??_-;_-@_-"/>
    <numFmt numFmtId="210" formatCode="#\ \k\W"/>
    <numFmt numFmtId="211" formatCode="#\ \W"/>
    <numFmt numFmtId="212" formatCode="_-[$$-409]* #,##0.0_ ;_-[$$-409]* \-#,##0.0\ ;_-[$$-409]* &quot;-&quot;??_ ;_-@_ "/>
    <numFmt numFmtId="213" formatCode="_-[$$-409]* #,##0.000_ ;_-[$$-409]* \-#,##0.000\ ;_-[$$-409]* &quot;-&quot;??_ ;_-@_ "/>
    <numFmt numFmtId="214" formatCode="_-[$$-409]* #,##0.0000_ ;_-[$$-409]* \-#,##0.0000\ ;_-[$$-409]* &quot;-&quot;??_ ;_-@_ "/>
    <numFmt numFmtId="215" formatCode="_-[$$-409]* #,##0.000_ ;_-[$$-409]* \-#,##0.000\ ;_-[$$-409]* &quot;-&quot;???_ ;_-@_ "/>
    <numFmt numFmtId="216" formatCode="_-[$$-409]* #,##0.00_ ;_-[$$-409]* \-#,##0.00\ ;_-[$$-409]* &quot;-&quot;???_ ;_-@_ "/>
    <numFmt numFmtId="217" formatCode="_-[$$-409]* #,##0.0_ ;_-[$$-409]* \-#,##0.0\ ;_-[$$-409]* &quot;-&quot;???_ ;_-@_ "/>
    <numFmt numFmtId="218" formatCode="_-[$$-409]* #,##0_ ;_-[$$-409]* \-#,##0\ ;_-[$$-409]* &quot;-&quot;???_ ;_-@_ "/>
    <numFmt numFmtId="219" formatCode="_-[$$-409]* #,##0.0000_ ;_-[$$-409]* \-#,##0.0000\ ;_-[$$-409]* &quot;-&quot;???_ ;_-@_ "/>
    <numFmt numFmtId="220" formatCode="_-[$$-409]* #,##0.00000_ ;_-[$$-409]* \-#,##0.00000\ ;_-[$$-409]* &quot;-&quot;???_ ;_-@_ "/>
    <numFmt numFmtId="221" formatCode="#,##0.0"/>
    <numFmt numFmtId="222" formatCode="_-&quot;R$&quot;* #,##0.00_-;\-&quot;R$&quot;* #,##0.00_-;_-&quot;R$&quot;* &quot;-&quot;??_-;_-@_-"/>
    <numFmt numFmtId="223" formatCode="&quot;Sim&quot;;&quot;Sim&quot;;&quot;Não&quot;"/>
    <numFmt numFmtId="224" formatCode="&quot;Verdadeiro&quot;;&quot;Verdadeiro&quot;;&quot;Falso&quot;"/>
    <numFmt numFmtId="225" formatCode="&quot;Ativado&quot;;&quot;Ativado&quot;;&quot;Desativado&quot;"/>
    <numFmt numFmtId="226" formatCode="[$€-2]\ #,##0.00_);[Red]\([$€-2]\ #,##0.00\)"/>
  </numFmts>
  <fonts count="10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sz val="8"/>
      <name val="Arial"/>
      <family val="2"/>
    </font>
    <font>
      <u val="single"/>
      <sz val="7.5"/>
      <color indexed="9"/>
      <name val="Arial"/>
      <family val="2"/>
    </font>
    <font>
      <sz val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0"/>
      <name val="Times New Roman"/>
      <family val="1"/>
    </font>
    <font>
      <b/>
      <i/>
      <sz val="8"/>
      <name val="Arial"/>
      <family val="2"/>
    </font>
    <font>
      <sz val="11"/>
      <name val="Arial Narrow"/>
      <family val="2"/>
    </font>
    <font>
      <b/>
      <sz val="9"/>
      <name val="Arial MT"/>
      <family val="0"/>
    </font>
    <font>
      <sz val="9"/>
      <color indexed="8"/>
      <name val="Arial"/>
      <family val="2"/>
    </font>
    <font>
      <sz val="11"/>
      <name val="Segoe U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1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2"/>
      <name val="Arial"/>
      <family val="2"/>
    </font>
    <font>
      <b/>
      <sz val="13"/>
      <color indexed="9"/>
      <name val="Calibri1"/>
      <family val="0"/>
    </font>
    <font>
      <sz val="8"/>
      <name val="Segoe UI"/>
      <family val="2"/>
    </font>
    <font>
      <sz val="11"/>
      <color indexed="13"/>
      <name val="Calibri"/>
      <family val="0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1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1"/>
      <family val="0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Arial"/>
      <family val="2"/>
    </font>
    <font>
      <b/>
      <sz val="13"/>
      <color rgb="FFFFFFFF"/>
      <name val="Calibri1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0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/>
      <top style="medium">
        <color rgb="FF000000"/>
      </top>
      <bottom/>
    </border>
    <border>
      <left style="thin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/>
      <top style="medium">
        <color rgb="FF000000"/>
      </top>
      <bottom style="medium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thin"/>
      <top style="thin"/>
      <bottom style="medium">
        <color rgb="FF000000"/>
      </bottom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9" borderId="1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32" borderId="0" applyNumberFormat="0" applyBorder="0" applyAlignment="0" applyProtection="0"/>
    <xf numFmtId="0" fontId="81" fillId="21" borderId="5" applyNumberFormat="0" applyAlignment="0" applyProtection="0"/>
    <xf numFmtId="164" fontId="0" fillId="0" borderId="0" applyFont="0" applyFill="0" applyBorder="0" applyAlignment="0" applyProtection="0"/>
    <xf numFmtId="0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10" fontId="2" fillId="33" borderId="0" xfId="0" applyNumberFormat="1" applyFont="1" applyFill="1" applyAlignment="1">
      <alignment/>
    </xf>
    <xf numFmtId="169" fontId="0" fillId="33" borderId="0" xfId="0" applyNumberFormat="1" applyFill="1" applyAlignment="1">
      <alignment/>
    </xf>
    <xf numFmtId="169" fontId="0" fillId="33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6" fillId="33" borderId="0" xfId="0" applyFont="1" applyFill="1" applyAlignment="1">
      <alignment horizontal="right"/>
    </xf>
    <xf numFmtId="0" fontId="5" fillId="0" borderId="10" xfId="0" applyFont="1" applyFill="1" applyBorder="1" applyAlignment="1" applyProtection="1">
      <alignment vertical="top"/>
      <protection locked="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3" borderId="0" xfId="0" applyFont="1" applyFill="1" applyAlignment="1" applyProtection="1">
      <alignment horizontal="right"/>
      <protection/>
    </xf>
    <xf numFmtId="0" fontId="0" fillId="34" borderId="10" xfId="0" applyFill="1" applyBorder="1" applyAlignment="1">
      <alignment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9" fontId="0" fillId="34" borderId="11" xfId="0" applyNumberForma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16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/>
    </xf>
    <xf numFmtId="10" fontId="0" fillId="36" borderId="10" xfId="0" applyNumberForma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10" fontId="1" fillId="35" borderId="10" xfId="0" applyNumberFormat="1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 horizontal="right"/>
      <protection/>
    </xf>
    <xf numFmtId="10" fontId="0" fillId="34" borderId="0" xfId="0" applyNumberForma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6" borderId="10" xfId="0" applyNumberFormat="1" applyFill="1" applyBorder="1" applyAlignment="1" applyProtection="1">
      <alignment horizontal="left"/>
      <protection/>
    </xf>
    <xf numFmtId="0" fontId="0" fillId="36" borderId="11" xfId="0" applyNumberFormat="1" applyFill="1" applyBorder="1" applyAlignment="1" applyProtection="1">
      <alignment horizontal="left"/>
      <protection/>
    </xf>
    <xf numFmtId="0" fontId="12" fillId="34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5" fillId="0" borderId="13" xfId="0" applyFont="1" applyFill="1" applyBorder="1" applyAlignment="1" applyProtection="1">
      <alignment vertical="top"/>
      <protection locked="0"/>
    </xf>
    <xf numFmtId="0" fontId="15" fillId="35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165" fontId="0" fillId="34" borderId="0" xfId="81" applyFont="1" applyFill="1" applyAlignment="1">
      <alignment/>
    </xf>
    <xf numFmtId="9" fontId="0" fillId="34" borderId="0" xfId="0" applyNumberFormat="1" applyFill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right" wrapText="1"/>
    </xf>
    <xf numFmtId="169" fontId="13" fillId="36" borderId="10" xfId="0" applyNumberFormat="1" applyFont="1" applyFill="1" applyBorder="1" applyAlignment="1" applyProtection="1">
      <alignment horizontal="right" vertical="center"/>
      <protection/>
    </xf>
    <xf numFmtId="10" fontId="13" fillId="36" borderId="10" xfId="65" applyNumberFormat="1" applyFont="1" applyFill="1" applyBorder="1" applyAlignment="1" applyProtection="1">
      <alignment horizontal="right" vertical="center"/>
      <protection/>
    </xf>
    <xf numFmtId="165" fontId="0" fillId="34" borderId="10" xfId="81" applyFont="1" applyFill="1" applyBorder="1" applyAlignment="1">
      <alignment/>
    </xf>
    <xf numFmtId="0" fontId="16" fillId="34" borderId="0" xfId="0" applyFont="1" applyFill="1" applyAlignment="1">
      <alignment horizontal="center"/>
    </xf>
    <xf numFmtId="169" fontId="6" fillId="37" borderId="10" xfId="0" applyNumberFormat="1" applyFont="1" applyFill="1" applyBorder="1" applyAlignment="1">
      <alignment horizontal="right"/>
    </xf>
    <xf numFmtId="169" fontId="1" fillId="36" borderId="10" xfId="0" applyNumberFormat="1" applyFont="1" applyFill="1" applyBorder="1" applyAlignment="1">
      <alignment horizontal="right"/>
    </xf>
    <xf numFmtId="0" fontId="0" fillId="38" borderId="11" xfId="0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0" fontId="1" fillId="35" borderId="10" xfId="0" applyFont="1" applyFill="1" applyBorder="1" applyAlignment="1">
      <alignment/>
    </xf>
    <xf numFmtId="171" fontId="0" fillId="0" borderId="10" xfId="81" applyNumberFormat="1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>
      <alignment/>
    </xf>
    <xf numFmtId="172" fontId="0" fillId="0" borderId="10" xfId="0" applyNumberFormat="1" applyFill="1" applyBorder="1" applyAlignment="1" applyProtection="1">
      <alignment horizontal="center" vertical="center"/>
      <protection locked="0"/>
    </xf>
    <xf numFmtId="169" fontId="1" fillId="37" borderId="10" xfId="0" applyNumberFormat="1" applyFont="1" applyFill="1" applyBorder="1" applyAlignment="1">
      <alignment horizontal="right" vertical="center"/>
    </xf>
    <xf numFmtId="169" fontId="0" fillId="0" borderId="11" xfId="65" applyNumberFormat="1" applyFont="1" applyFill="1" applyBorder="1" applyAlignment="1" applyProtection="1">
      <alignment horizontal="right" vertical="center"/>
      <protection locked="0"/>
    </xf>
    <xf numFmtId="169" fontId="0" fillId="0" borderId="11" xfId="46" applyNumberFormat="1" applyFont="1" applyFill="1" applyBorder="1" applyAlignment="1" applyProtection="1">
      <alignment horizontal="right" vertical="center"/>
      <protection locked="0"/>
    </xf>
    <xf numFmtId="10" fontId="0" fillId="0" borderId="10" xfId="0" applyNumberForma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36" borderId="10" xfId="0" applyFill="1" applyBorder="1" applyAlignment="1">
      <alignment horizontal="left"/>
    </xf>
    <xf numFmtId="0" fontId="1" fillId="35" borderId="11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>
      <alignment horizontal="left"/>
    </xf>
    <xf numFmtId="1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10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horizontal="left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0" fontId="0" fillId="0" borderId="10" xfId="0" applyNumberFormat="1" applyFill="1" applyBorder="1" applyAlignment="1" applyProtection="1">
      <alignment/>
      <protection locked="0"/>
    </xf>
    <xf numFmtId="0" fontId="14" fillId="39" borderId="13" xfId="0" applyFont="1" applyFill="1" applyBorder="1" applyAlignment="1" applyProtection="1">
      <alignment horizontal="left"/>
      <protection locked="0"/>
    </xf>
    <xf numFmtId="0" fontId="9" fillId="33" borderId="0" xfId="0" applyFont="1" applyFill="1" applyAlignment="1">
      <alignment vertical="center"/>
    </xf>
    <xf numFmtId="0" fontId="0" fillId="34" borderId="0" xfId="0" applyFill="1" applyAlignment="1">
      <alignment horizontal="right" wrapText="1"/>
    </xf>
    <xf numFmtId="0" fontId="1" fillId="0" borderId="11" xfId="0" applyFont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 wrapText="1"/>
    </xf>
    <xf numFmtId="0" fontId="17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5" borderId="17" xfId="0" applyFill="1" applyBorder="1" applyAlignment="1">
      <alignment/>
    </xf>
    <xf numFmtId="0" fontId="21" fillId="35" borderId="0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0" xfId="0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169" fontId="1" fillId="33" borderId="10" xfId="0" applyNumberFormat="1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0" borderId="0" xfId="0" applyBorder="1" applyAlignment="1">
      <alignment/>
    </xf>
    <xf numFmtId="0" fontId="25" fillId="35" borderId="0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6" xfId="0" applyFill="1" applyBorder="1" applyAlignment="1">
      <alignment horizontal="center"/>
    </xf>
    <xf numFmtId="174" fontId="0" fillId="0" borderId="27" xfId="0" applyNumberFormat="1" applyFill="1" applyBorder="1" applyAlignment="1" applyProtection="1">
      <alignment horizontal="center"/>
      <protection locked="0"/>
    </xf>
    <xf numFmtId="169" fontId="0" fillId="0" borderId="28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10" fontId="1" fillId="0" borderId="13" xfId="0" applyNumberFormat="1" applyFont="1" applyFill="1" applyBorder="1" applyAlignment="1" applyProtection="1">
      <alignment horizontal="center"/>
      <protection/>
    </xf>
    <xf numFmtId="173" fontId="23" fillId="0" borderId="29" xfId="0" applyNumberFormat="1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23" fillId="0" borderId="30" xfId="0" applyNumberFormat="1" applyFont="1" applyFill="1" applyBorder="1" applyAlignment="1" applyProtection="1">
      <alignment horizontal="center"/>
      <protection locked="0"/>
    </xf>
    <xf numFmtId="165" fontId="23" fillId="0" borderId="30" xfId="0" applyNumberFormat="1" applyFont="1" applyFill="1" applyBorder="1" applyAlignment="1" applyProtection="1">
      <alignment/>
      <protection locked="0"/>
    </xf>
    <xf numFmtId="49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0" xfId="0" applyNumberFormat="1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>
      <alignment wrapText="1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69" fontId="13" fillId="0" borderId="10" xfId="0" applyNumberFormat="1" applyFont="1" applyFill="1" applyBorder="1" applyAlignment="1" applyProtection="1">
      <alignment horizontal="right" vertical="center"/>
      <protection locked="0"/>
    </xf>
    <xf numFmtId="175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0" fontId="23" fillId="0" borderId="29" xfId="0" applyNumberFormat="1" applyFont="1" applyFill="1" applyBorder="1" applyAlignment="1" applyProtection="1">
      <alignment horizontal="center"/>
      <protection locked="0"/>
    </xf>
    <xf numFmtId="173" fontId="23" fillId="0" borderId="29" xfId="0" applyNumberFormat="1" applyFont="1" applyFill="1" applyBorder="1" applyAlignment="1" applyProtection="1">
      <alignment horizontal="center"/>
      <protection locked="0"/>
    </xf>
    <xf numFmtId="0" fontId="89" fillId="0" borderId="31" xfId="0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0" fontId="89" fillId="0" borderId="33" xfId="0" applyFont="1" applyBorder="1" applyAlignment="1">
      <alignment horizontal="center" vertical="center"/>
    </xf>
    <xf numFmtId="179" fontId="89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0" fillId="0" borderId="0" xfId="0" applyFont="1" applyAlignment="1">
      <alignment horizontal="center"/>
    </xf>
    <xf numFmtId="0" fontId="91" fillId="40" borderId="10" xfId="0" applyFont="1" applyFill="1" applyBorder="1" applyAlignment="1">
      <alignment horizontal="left"/>
    </xf>
    <xf numFmtId="0" fontId="90" fillId="0" borderId="10" xfId="0" applyFont="1" applyBorder="1" applyAlignment="1">
      <alignment horizontal="center"/>
    </xf>
    <xf numFmtId="8" fontId="90" fillId="0" borderId="10" xfId="0" applyNumberFormat="1" applyFont="1" applyBorder="1" applyAlignment="1">
      <alignment horizontal="center"/>
    </xf>
    <xf numFmtId="8" fontId="90" fillId="0" borderId="0" xfId="0" applyNumberFormat="1" applyFont="1" applyAlignment="1">
      <alignment horizontal="left"/>
    </xf>
    <xf numFmtId="0" fontId="90" fillId="0" borderId="0" xfId="0" applyFont="1" applyAlignment="1">
      <alignment horizontal="left"/>
    </xf>
    <xf numFmtId="0" fontId="92" fillId="0" borderId="0" xfId="0" applyFont="1" applyAlignment="1">
      <alignment horizontal="center"/>
    </xf>
    <xf numFmtId="8" fontId="91" fillId="0" borderId="10" xfId="0" applyNumberFormat="1" applyFont="1" applyBorder="1" applyAlignment="1">
      <alignment horizontal="center"/>
    </xf>
    <xf numFmtId="0" fontId="91" fillId="40" borderId="0" xfId="0" applyFont="1" applyFill="1" applyBorder="1" applyAlignment="1">
      <alignment horizontal="left"/>
    </xf>
    <xf numFmtId="8" fontId="91" fillId="0" borderId="0" xfId="0" applyNumberFormat="1" applyFont="1" applyBorder="1" applyAlignment="1">
      <alignment horizontal="center"/>
    </xf>
    <xf numFmtId="0" fontId="91" fillId="40" borderId="11" xfId="0" applyFont="1" applyFill="1" applyBorder="1" applyAlignment="1">
      <alignment horizontal="left"/>
    </xf>
    <xf numFmtId="8" fontId="91" fillId="0" borderId="34" xfId="0" applyNumberFormat="1" applyFont="1" applyBorder="1" applyAlignment="1">
      <alignment horizontal="center"/>
    </xf>
    <xf numFmtId="0" fontId="91" fillId="40" borderId="35" xfId="0" applyFont="1" applyFill="1" applyBorder="1" applyAlignment="1">
      <alignment horizontal="left"/>
    </xf>
    <xf numFmtId="0" fontId="90" fillId="0" borderId="35" xfId="0" applyFont="1" applyBorder="1" applyAlignment="1">
      <alignment horizontal="center"/>
    </xf>
    <xf numFmtId="0" fontId="91" fillId="40" borderId="36" xfId="0" applyFont="1" applyFill="1" applyBorder="1" applyAlignment="1">
      <alignment horizontal="left"/>
    </xf>
    <xf numFmtId="0" fontId="91" fillId="40" borderId="37" xfId="0" applyFont="1" applyFill="1" applyBorder="1" applyAlignment="1">
      <alignment horizontal="center"/>
    </xf>
    <xf numFmtId="0" fontId="91" fillId="40" borderId="36" xfId="0" applyFont="1" applyFill="1" applyBorder="1" applyAlignment="1">
      <alignment horizontal="center"/>
    </xf>
    <xf numFmtId="174" fontId="89" fillId="41" borderId="31" xfId="65" applyNumberFormat="1" applyFont="1" applyFill="1" applyBorder="1" applyAlignment="1">
      <alignment horizontal="center" vertical="center"/>
    </xf>
    <xf numFmtId="174" fontId="93" fillId="0" borderId="31" xfId="65" applyNumberFormat="1" applyFont="1" applyBorder="1" applyAlignment="1">
      <alignment horizontal="center" vertical="center"/>
    </xf>
    <xf numFmtId="0" fontId="89" fillId="42" borderId="31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1" fillId="0" borderId="40" xfId="60" applyFont="1" applyBorder="1" applyAlignment="1">
      <alignment horizontal="center" vertical="center"/>
      <protection/>
    </xf>
    <xf numFmtId="0" fontId="23" fillId="0" borderId="31" xfId="61" applyFont="1" applyBorder="1" applyAlignment="1">
      <alignment horizontal="left" vertical="center"/>
      <protection/>
    </xf>
    <xf numFmtId="10" fontId="0" fillId="0" borderId="41" xfId="72" applyNumberFormat="1" applyBorder="1" applyAlignment="1">
      <alignment horizontal="center" vertical="center" shrinkToFit="1"/>
    </xf>
    <xf numFmtId="0" fontId="1" fillId="0" borderId="42" xfId="60" applyFont="1" applyBorder="1" applyAlignment="1">
      <alignment horizontal="center" vertical="center"/>
      <protection/>
    </xf>
    <xf numFmtId="0" fontId="23" fillId="0" borderId="32" xfId="61" applyFont="1" applyBorder="1" applyAlignment="1">
      <alignment horizontal="left" vertical="center"/>
      <protection/>
    </xf>
    <xf numFmtId="10" fontId="0" fillId="0" borderId="43" xfId="72" applyNumberFormat="1" applyBorder="1" applyAlignment="1">
      <alignment horizontal="center" vertical="center" shrinkToFit="1"/>
    </xf>
    <xf numFmtId="10" fontId="1" fillId="0" borderId="43" xfId="72" applyNumberFormat="1" applyFont="1" applyBorder="1" applyAlignment="1">
      <alignment horizontal="center" vertical="center" shrinkToFit="1"/>
    </xf>
    <xf numFmtId="0" fontId="0" fillId="0" borderId="44" xfId="60" applyFont="1" applyBorder="1" applyAlignment="1">
      <alignment horizontal="center" vertical="center"/>
      <protection/>
    </xf>
    <xf numFmtId="0" fontId="23" fillId="0" borderId="33" xfId="61" applyFont="1" applyBorder="1" applyAlignment="1">
      <alignment horizontal="center" vertical="center"/>
      <protection/>
    </xf>
    <xf numFmtId="10" fontId="0" fillId="0" borderId="45" xfId="72" applyNumberFormat="1" applyBorder="1" applyAlignment="1">
      <alignment horizontal="center" vertical="center" shrinkToFit="1"/>
    </xf>
    <xf numFmtId="0" fontId="0" fillId="0" borderId="31" xfId="60" applyFont="1" applyBorder="1" applyAlignment="1">
      <alignment horizontal="left" vertical="center" shrinkToFit="1"/>
      <protection/>
    </xf>
    <xf numFmtId="10" fontId="0" fillId="0" borderId="41" xfId="72" applyNumberFormat="1" applyBorder="1" applyAlignment="1">
      <alignment horizontal="center" vertical="center" wrapText="1" shrinkToFit="1"/>
    </xf>
    <xf numFmtId="0" fontId="0" fillId="0" borderId="32" xfId="61" applyFont="1" applyBorder="1" applyAlignment="1">
      <alignment horizontal="left" vertical="center"/>
      <protection/>
    </xf>
    <xf numFmtId="0" fontId="1" fillId="43" borderId="31" xfId="60" applyFont="1" applyFill="1" applyBorder="1" applyAlignment="1">
      <alignment horizontal="left" vertical="center"/>
      <protection/>
    </xf>
    <xf numFmtId="0" fontId="0" fillId="43" borderId="46" xfId="60" applyFont="1" applyFill="1" applyBorder="1" applyAlignment="1">
      <alignment horizontal="left" vertical="center"/>
      <protection/>
    </xf>
    <xf numFmtId="0" fontId="1" fillId="44" borderId="47" xfId="60" applyFont="1" applyFill="1" applyBorder="1" applyAlignment="1">
      <alignment vertical="center"/>
      <protection/>
    </xf>
    <xf numFmtId="0" fontId="1" fillId="44" borderId="48" xfId="60" applyFont="1" applyFill="1" applyBorder="1" applyAlignment="1">
      <alignment horizontal="right" vertical="center"/>
      <protection/>
    </xf>
    <xf numFmtId="10" fontId="1" fillId="40" borderId="49" xfId="72" applyNumberFormat="1" applyFont="1" applyFill="1" applyBorder="1" applyAlignment="1">
      <alignment horizontal="center" vertical="center" shrinkToFit="1"/>
    </xf>
    <xf numFmtId="0" fontId="30" fillId="0" borderId="50" xfId="0" applyFont="1" applyBorder="1" applyAlignment="1">
      <alignment/>
    </xf>
    <xf numFmtId="0" fontId="0" fillId="0" borderId="51" xfId="0" applyBorder="1" applyAlignment="1">
      <alignment/>
    </xf>
    <xf numFmtId="0" fontId="10" fillId="0" borderId="12" xfId="0" applyFont="1" applyBorder="1" applyAlignment="1">
      <alignment/>
    </xf>
    <xf numFmtId="0" fontId="13" fillId="0" borderId="0" xfId="0" applyFont="1" applyAlignment="1">
      <alignment/>
    </xf>
    <xf numFmtId="0" fontId="13" fillId="0" borderId="3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52" xfId="0" applyBorder="1" applyAlignment="1">
      <alignment/>
    </xf>
    <xf numFmtId="0" fontId="1" fillId="44" borderId="53" xfId="63" applyFont="1" applyFill="1" applyBorder="1" applyAlignment="1">
      <alignment horizontal="center" vertical="center" shrinkToFit="1"/>
      <protection/>
    </xf>
    <xf numFmtId="0" fontId="1" fillId="44" borderId="54" xfId="63" applyFont="1" applyFill="1" applyBorder="1" applyAlignment="1">
      <alignment horizontal="center" vertical="center" shrinkToFit="1"/>
      <protection/>
    </xf>
    <xf numFmtId="0" fontId="1" fillId="44" borderId="55" xfId="63" applyFont="1" applyFill="1" applyBorder="1" applyAlignment="1">
      <alignment horizontal="center" vertical="center" shrinkToFit="1"/>
      <protection/>
    </xf>
    <xf numFmtId="0" fontId="1" fillId="6" borderId="56" xfId="60" applyFont="1" applyFill="1" applyBorder="1" applyAlignment="1">
      <alignment horizontal="center" vertical="center"/>
      <protection/>
    </xf>
    <xf numFmtId="0" fontId="1" fillId="6" borderId="57" xfId="60" applyFont="1" applyFill="1" applyBorder="1" applyAlignment="1">
      <alignment horizontal="center" vertical="center"/>
      <protection/>
    </xf>
    <xf numFmtId="0" fontId="1" fillId="6" borderId="58" xfId="60" applyFont="1" applyFill="1" applyBorder="1" applyAlignment="1">
      <alignment horizontal="center" vertical="center"/>
      <protection/>
    </xf>
    <xf numFmtId="0" fontId="1" fillId="0" borderId="59" xfId="60" applyFont="1" applyBorder="1" applyAlignment="1">
      <alignment horizontal="center" vertical="center"/>
      <protection/>
    </xf>
    <xf numFmtId="0" fontId="1" fillId="0" borderId="60" xfId="60" applyFont="1" applyBorder="1" applyAlignment="1">
      <alignment horizontal="center" vertical="center"/>
      <protection/>
    </xf>
    <xf numFmtId="10" fontId="89" fillId="45" borderId="32" xfId="0" applyNumberFormat="1" applyFont="1" applyFill="1" applyBorder="1" applyAlignment="1">
      <alignment horizontal="center" vertical="center"/>
    </xf>
    <xf numFmtId="8" fontId="0" fillId="0" borderId="10" xfId="0" applyNumberFormat="1" applyBorder="1" applyAlignment="1">
      <alignment/>
    </xf>
    <xf numFmtId="0" fontId="1" fillId="40" borderId="10" xfId="0" applyFont="1" applyFill="1" applyBorder="1" applyAlignment="1">
      <alignment/>
    </xf>
    <xf numFmtId="0" fontId="0" fillId="0" borderId="0" xfId="0" applyFont="1" applyAlignment="1">
      <alignment/>
    </xf>
    <xf numFmtId="0" fontId="94" fillId="0" borderId="0" xfId="0" applyFont="1" applyAlignment="1">
      <alignment vertical="center"/>
    </xf>
    <xf numFmtId="0" fontId="94" fillId="0" borderId="0" xfId="0" applyFont="1" applyAlignment="1">
      <alignment vertical="center" wrapText="1"/>
    </xf>
    <xf numFmtId="10" fontId="94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4" fillId="0" borderId="61" xfId="0" applyFont="1" applyBorder="1" applyAlignment="1">
      <alignment vertical="center" wrapText="1"/>
    </xf>
    <xf numFmtId="0" fontId="94" fillId="0" borderId="62" xfId="0" applyFont="1" applyBorder="1" applyAlignment="1">
      <alignment horizontal="right" vertical="center" wrapText="1"/>
    </xf>
    <xf numFmtId="0" fontId="94" fillId="0" borderId="63" xfId="0" applyFont="1" applyBorder="1" applyAlignment="1">
      <alignment horizontal="right" vertical="center" wrapText="1"/>
    </xf>
    <xf numFmtId="0" fontId="35" fillId="0" borderId="0" xfId="58" applyFont="1" applyAlignment="1">
      <alignment vertical="center"/>
      <protection/>
    </xf>
    <xf numFmtId="0" fontId="35" fillId="0" borderId="0" xfId="58" applyFont="1" applyAlignment="1">
      <alignment horizontal="center" vertical="center"/>
      <protection/>
    </xf>
    <xf numFmtId="0" fontId="35" fillId="0" borderId="0" xfId="58" applyFont="1">
      <alignment/>
      <protection/>
    </xf>
    <xf numFmtId="0" fontId="35" fillId="0" borderId="17" xfId="58" applyFont="1" applyBorder="1">
      <alignment/>
      <protection/>
    </xf>
    <xf numFmtId="184" fontId="61" fillId="0" borderId="0" xfId="58" applyNumberFormat="1" applyFont="1" applyAlignment="1">
      <alignment horizontal="center"/>
      <protection/>
    </xf>
    <xf numFmtId="0" fontId="35" fillId="0" borderId="18" xfId="58" applyFont="1" applyBorder="1">
      <alignment/>
      <protection/>
    </xf>
    <xf numFmtId="0" fontId="62" fillId="0" borderId="0" xfId="58" applyFont="1">
      <alignment/>
      <protection/>
    </xf>
    <xf numFmtId="49" fontId="62" fillId="0" borderId="64" xfId="58" applyNumberFormat="1" applyFont="1" applyBorder="1" applyAlignment="1">
      <alignment horizontal="center"/>
      <protection/>
    </xf>
    <xf numFmtId="49" fontId="62" fillId="0" borderId="65" xfId="58" applyNumberFormat="1" applyFont="1" applyBorder="1" applyAlignment="1">
      <alignment horizontal="center"/>
      <protection/>
    </xf>
    <xf numFmtId="49" fontId="62" fillId="0" borderId="66" xfId="58" applyNumberFormat="1" applyFont="1" applyBorder="1" applyAlignment="1">
      <alignment horizontal="center"/>
      <protection/>
    </xf>
    <xf numFmtId="0" fontId="63" fillId="0" borderId="0" xfId="58" applyFont="1">
      <alignment/>
      <protection/>
    </xf>
    <xf numFmtId="43" fontId="62" fillId="0" borderId="0" xfId="82" applyFont="1" applyAlignment="1">
      <alignment/>
    </xf>
    <xf numFmtId="0" fontId="62" fillId="0" borderId="67" xfId="58" applyFont="1" applyBorder="1" applyAlignment="1">
      <alignment horizontal="center" vertical="top"/>
      <protection/>
    </xf>
    <xf numFmtId="0" fontId="64" fillId="0" borderId="68" xfId="58" applyFont="1" applyBorder="1" applyAlignment="1">
      <alignment horizontal="center"/>
      <protection/>
    </xf>
    <xf numFmtId="0" fontId="62" fillId="0" borderId="69" xfId="58" applyFont="1" applyBorder="1" applyAlignment="1">
      <alignment horizontal="center" vertical="top"/>
      <protection/>
    </xf>
    <xf numFmtId="0" fontId="64" fillId="0" borderId="70" xfId="58" applyFont="1" applyBorder="1" applyAlignment="1">
      <alignment horizontal="center"/>
      <protection/>
    </xf>
    <xf numFmtId="0" fontId="62" fillId="0" borderId="71" xfId="58" applyFont="1" applyBorder="1" applyAlignment="1">
      <alignment horizontal="center" vertical="top"/>
      <protection/>
    </xf>
    <xf numFmtId="0" fontId="64" fillId="0" borderId="72" xfId="58" applyFont="1" applyBorder="1" applyAlignment="1">
      <alignment horizontal="center"/>
      <protection/>
    </xf>
    <xf numFmtId="185" fontId="35" fillId="0" borderId="0" xfId="58" applyNumberFormat="1" applyFont="1">
      <alignment/>
      <protection/>
    </xf>
    <xf numFmtId="0" fontId="35" fillId="0" borderId="69" xfId="58" applyFont="1" applyBorder="1" applyAlignment="1">
      <alignment horizontal="center" vertical="top"/>
      <protection/>
    </xf>
    <xf numFmtId="0" fontId="35" fillId="0" borderId="70" xfId="58" applyFont="1" applyBorder="1" applyAlignment="1">
      <alignment horizontal="center"/>
      <protection/>
    </xf>
    <xf numFmtId="0" fontId="35" fillId="0" borderId="73" xfId="58" applyFont="1" applyBorder="1" applyAlignment="1">
      <alignment horizontal="center" vertical="top"/>
      <protection/>
    </xf>
    <xf numFmtId="0" fontId="35" fillId="0" borderId="74" xfId="58" applyFont="1" applyBorder="1" applyAlignment="1">
      <alignment horizontal="center"/>
      <protection/>
    </xf>
    <xf numFmtId="0" fontId="62" fillId="0" borderId="0" xfId="58" applyFont="1" applyAlignment="1">
      <alignment horizontal="center"/>
      <protection/>
    </xf>
    <xf numFmtId="0" fontId="63" fillId="0" borderId="0" xfId="58" applyFont="1" applyAlignment="1">
      <alignment horizontal="center"/>
      <protection/>
    </xf>
    <xf numFmtId="184" fontId="62" fillId="0" borderId="0" xfId="58" applyNumberFormat="1" applyFont="1">
      <alignment/>
      <protection/>
    </xf>
    <xf numFmtId="184" fontId="35" fillId="0" borderId="0" xfId="58" applyNumberFormat="1" applyFont="1">
      <alignment/>
      <protection/>
    </xf>
    <xf numFmtId="184" fontId="64" fillId="0" borderId="0" xfId="58" applyNumberFormat="1" applyFont="1">
      <alignment/>
      <protection/>
    </xf>
    <xf numFmtId="0" fontId="35" fillId="0" borderId="23" xfId="58" applyFont="1" applyBorder="1">
      <alignment/>
      <protection/>
    </xf>
    <xf numFmtId="0" fontId="35" fillId="0" borderId="24" xfId="58" applyFont="1" applyBorder="1">
      <alignment/>
      <protection/>
    </xf>
    <xf numFmtId="0" fontId="35" fillId="0" borderId="25" xfId="58" applyFont="1" applyBorder="1">
      <alignment/>
      <protection/>
    </xf>
    <xf numFmtId="0" fontId="35" fillId="0" borderId="17" xfId="56" applyFont="1" applyBorder="1">
      <alignment/>
      <protection/>
    </xf>
    <xf numFmtId="0" fontId="35" fillId="0" borderId="18" xfId="56" applyFont="1" applyBorder="1">
      <alignment/>
      <protection/>
    </xf>
    <xf numFmtId="0" fontId="35" fillId="0" borderId="0" xfId="56" applyFont="1">
      <alignment/>
      <protection/>
    </xf>
    <xf numFmtId="0" fontId="62" fillId="0" borderId="0" xfId="56" applyFont="1">
      <alignment/>
      <protection/>
    </xf>
    <xf numFmtId="0" fontId="63" fillId="0" borderId="0" xfId="56" applyFont="1">
      <alignment/>
      <protection/>
    </xf>
    <xf numFmtId="0" fontId="72" fillId="0" borderId="0" xfId="56" applyFont="1" applyAlignment="1">
      <alignment horizontal="right"/>
      <protection/>
    </xf>
    <xf numFmtId="0" fontId="62" fillId="0" borderId="75" xfId="56" applyFont="1" applyBorder="1" applyAlignment="1">
      <alignment horizontal="center" vertical="center" wrapText="1"/>
      <protection/>
    </xf>
    <xf numFmtId="0" fontId="62" fillId="0" borderId="76" xfId="56" applyFont="1" applyBorder="1" applyAlignment="1">
      <alignment horizontal="center" vertical="center" wrapText="1"/>
      <protection/>
    </xf>
    <xf numFmtId="0" fontId="62" fillId="0" borderId="77" xfId="56" applyFont="1" applyBorder="1" applyAlignment="1">
      <alignment horizontal="center" vertical="center" wrapText="1"/>
      <protection/>
    </xf>
    <xf numFmtId="0" fontId="35" fillId="0" borderId="63" xfId="56" applyFont="1" applyBorder="1" applyAlignment="1">
      <alignment horizontal="justify" vertical="center" wrapText="1"/>
      <protection/>
    </xf>
    <xf numFmtId="0" fontId="35" fillId="0" borderId="23" xfId="56" applyFont="1" applyBorder="1">
      <alignment/>
      <protection/>
    </xf>
    <xf numFmtId="0" fontId="35" fillId="0" borderId="25" xfId="56" applyFont="1" applyBorder="1">
      <alignment/>
      <protection/>
    </xf>
    <xf numFmtId="10" fontId="62" fillId="0" borderId="0" xfId="65" applyNumberFormat="1" applyFont="1" applyAlignment="1">
      <alignment/>
    </xf>
    <xf numFmtId="175" fontId="0" fillId="0" borderId="10" xfId="0" applyNumberFormat="1" applyBorder="1" applyAlignment="1">
      <alignment horizontal="center"/>
    </xf>
    <xf numFmtId="0" fontId="1" fillId="46" borderId="0" xfId="0" applyFont="1" applyFill="1" applyBorder="1" applyAlignment="1">
      <alignment/>
    </xf>
    <xf numFmtId="8" fontId="0" fillId="46" borderId="0" xfId="0" applyNumberFormat="1" applyFill="1" applyBorder="1" applyAlignment="1">
      <alignment/>
    </xf>
    <xf numFmtId="186" fontId="0" fillId="0" borderId="10" xfId="0" applyNumberFormat="1" applyBorder="1" applyAlignment="1">
      <alignment/>
    </xf>
    <xf numFmtId="175" fontId="90" fillId="0" borderId="10" xfId="0" applyNumberFormat="1" applyFont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10" fontId="35" fillId="0" borderId="78" xfId="65" applyNumberFormat="1" applyFont="1" applyBorder="1" applyAlignment="1">
      <alignment horizontal="center" vertical="center" wrapText="1"/>
    </xf>
    <xf numFmtId="184" fontId="64" fillId="27" borderId="79" xfId="58" applyNumberFormat="1" applyFont="1" applyFill="1" applyBorder="1">
      <alignment/>
      <protection/>
    </xf>
    <xf numFmtId="10" fontId="64" fillId="27" borderId="80" xfId="58" applyNumberFormat="1" applyFont="1" applyFill="1" applyBorder="1">
      <alignment/>
      <protection/>
    </xf>
    <xf numFmtId="0" fontId="95" fillId="27" borderId="36" xfId="0" applyFont="1" applyFill="1" applyBorder="1" applyAlignment="1">
      <alignment horizontal="center" vertical="center"/>
    </xf>
    <xf numFmtId="10" fontId="95" fillId="27" borderId="81" xfId="0" applyNumberFormat="1" applyFont="1" applyFill="1" applyBorder="1" applyAlignment="1">
      <alignment horizontal="center" vertical="center"/>
    </xf>
    <xf numFmtId="0" fontId="31" fillId="0" borderId="82" xfId="0" applyFont="1" applyBorder="1" applyAlignment="1">
      <alignment horizontal="left" vertical="center"/>
    </xf>
    <xf numFmtId="0" fontId="31" fillId="0" borderId="62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35" fillId="0" borderId="0" xfId="0" applyFont="1" applyAlignment="1">
      <alignment horizontal="left" vertical="center"/>
    </xf>
    <xf numFmtId="0" fontId="62" fillId="0" borderId="83" xfId="58" applyFont="1" applyBorder="1" applyAlignment="1">
      <alignment horizontal="center" vertical="center"/>
      <protection/>
    </xf>
    <xf numFmtId="0" fontId="36" fillId="0" borderId="0" xfId="0" applyFont="1" applyAlignment="1">
      <alignment horizontal="left" vertical="center"/>
    </xf>
    <xf numFmtId="0" fontId="35" fillId="0" borderId="0" xfId="58" applyFont="1" applyAlignment="1">
      <alignment wrapText="1"/>
      <protection/>
    </xf>
    <xf numFmtId="0" fontId="0" fillId="47" borderId="0" xfId="0" applyFill="1" applyAlignment="1">
      <alignment/>
    </xf>
    <xf numFmtId="0" fontId="0" fillId="47" borderId="0" xfId="0" applyFill="1" applyAlignment="1">
      <alignment horizontal="center"/>
    </xf>
    <xf numFmtId="0" fontId="0" fillId="15" borderId="0" xfId="0" applyFill="1" applyAlignment="1" applyProtection="1">
      <alignment/>
      <protection locked="0"/>
    </xf>
    <xf numFmtId="0" fontId="0" fillId="15" borderId="0" xfId="0" applyFill="1" applyAlignment="1" applyProtection="1">
      <alignment/>
      <protection/>
    </xf>
    <xf numFmtId="4" fontId="96" fillId="48" borderId="10" xfId="55" applyNumberFormat="1" applyFont="1" applyFill="1" applyBorder="1" applyAlignment="1" applyProtection="1">
      <alignment horizontal="center" vertical="center"/>
      <protection locked="0"/>
    </xf>
    <xf numFmtId="4" fontId="96" fillId="48" borderId="26" xfId="55" applyNumberFormat="1" applyFont="1" applyFill="1" applyBorder="1" applyAlignment="1" applyProtection="1">
      <alignment horizontal="center" vertical="center"/>
      <protection locked="0"/>
    </xf>
    <xf numFmtId="0" fontId="97" fillId="48" borderId="10" xfId="55" applyFont="1" applyFill="1" applyBorder="1" applyAlignment="1" applyProtection="1">
      <alignment horizontal="center" vertical="center"/>
      <protection locked="0"/>
    </xf>
    <xf numFmtId="0" fontId="96" fillId="48" borderId="10" xfId="55" applyFont="1" applyFill="1" applyBorder="1" applyAlignment="1" applyProtection="1">
      <alignment horizontal="center" vertical="center"/>
      <protection locked="0"/>
    </xf>
    <xf numFmtId="0" fontId="96" fillId="48" borderId="26" xfId="55" applyFont="1" applyFill="1" applyBorder="1" applyAlignment="1" applyProtection="1">
      <alignment horizontal="center" vertical="center"/>
      <protection locked="0"/>
    </xf>
    <xf numFmtId="0" fontId="0" fillId="0" borderId="0" xfId="55" applyProtection="1">
      <alignment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Alignment="1" applyProtection="1">
      <alignment horizontal="center" vertical="center"/>
      <protection/>
    </xf>
    <xf numFmtId="0" fontId="1" fillId="0" borderId="10" xfId="55" applyFont="1" applyBorder="1" applyAlignment="1" applyProtection="1">
      <alignment horizontal="center" vertical="center"/>
      <protection/>
    </xf>
    <xf numFmtId="0" fontId="97" fillId="46" borderId="26" xfId="55" applyFont="1" applyFill="1" applyBorder="1" applyAlignment="1" applyProtection="1">
      <alignment horizontal="center" vertical="center" wrapText="1"/>
      <protection/>
    </xf>
    <xf numFmtId="0" fontId="97" fillId="46" borderId="26" xfId="55" applyFont="1" applyFill="1" applyBorder="1" applyAlignment="1" applyProtection="1">
      <alignment horizontal="center" vertical="center"/>
      <protection/>
    </xf>
    <xf numFmtId="0" fontId="32" fillId="46" borderId="26" xfId="55" applyFont="1" applyFill="1" applyBorder="1" applyAlignment="1" applyProtection="1">
      <alignment horizontal="center" vertical="center" wrapText="1"/>
      <protection/>
    </xf>
    <xf numFmtId="0" fontId="14" fillId="46" borderId="26" xfId="55" applyFont="1" applyFill="1" applyBorder="1" applyAlignment="1" applyProtection="1">
      <alignment horizontal="center" vertical="center" wrapText="1"/>
      <protection/>
    </xf>
    <xf numFmtId="0" fontId="0" fillId="0" borderId="10" xfId="55" applyBorder="1" applyAlignment="1" applyProtection="1">
      <alignment horizontal="center" vertical="center"/>
      <protection/>
    </xf>
    <xf numFmtId="0" fontId="96" fillId="0" borderId="10" xfId="55" applyFont="1" applyBorder="1" applyAlignment="1" applyProtection="1">
      <alignment horizontal="left" vertical="center" wrapText="1"/>
      <protection/>
    </xf>
    <xf numFmtId="0" fontId="96" fillId="0" borderId="10" xfId="55" applyFont="1" applyBorder="1" applyAlignment="1" applyProtection="1">
      <alignment horizontal="center" vertical="center"/>
      <protection/>
    </xf>
    <xf numFmtId="168" fontId="0" fillId="0" borderId="10" xfId="52" applyFont="1" applyBorder="1" applyAlignment="1" applyProtection="1">
      <alignment horizontal="center" vertical="center"/>
      <protection/>
    </xf>
    <xf numFmtId="0" fontId="96" fillId="0" borderId="10" xfId="55" applyFont="1" applyBorder="1" applyAlignment="1" applyProtection="1">
      <alignment vertical="center" wrapText="1"/>
      <protection/>
    </xf>
    <xf numFmtId="0" fontId="96" fillId="0" borderId="10" xfId="55" applyFont="1" applyFill="1" applyBorder="1" applyAlignment="1" applyProtection="1">
      <alignment horizontal="left" vertical="center" wrapText="1"/>
      <protection/>
    </xf>
    <xf numFmtId="0" fontId="33" fillId="49" borderId="10" xfId="55" applyFont="1" applyFill="1" applyBorder="1" applyAlignment="1" applyProtection="1">
      <alignment vertical="center" wrapText="1"/>
      <protection/>
    </xf>
    <xf numFmtId="0" fontId="33" fillId="50" borderId="10" xfId="55" applyFont="1" applyFill="1" applyBorder="1" applyAlignment="1" applyProtection="1">
      <alignment vertical="center" wrapText="1"/>
      <protection/>
    </xf>
    <xf numFmtId="0" fontId="0" fillId="0" borderId="26" xfId="55" applyBorder="1" applyAlignment="1" applyProtection="1">
      <alignment horizontal="center" vertical="center"/>
      <protection/>
    </xf>
    <xf numFmtId="0" fontId="13" fillId="50" borderId="26" xfId="55" applyFont="1" applyFill="1" applyBorder="1" applyAlignment="1" applyProtection="1">
      <alignment vertical="center" wrapText="1"/>
      <protection/>
    </xf>
    <xf numFmtId="0" fontId="96" fillId="0" borderId="26" xfId="55" applyFont="1" applyBorder="1" applyAlignment="1" applyProtection="1">
      <alignment horizontal="center" vertical="center"/>
      <protection/>
    </xf>
    <xf numFmtId="168" fontId="0" fillId="0" borderId="26" xfId="52" applyFont="1" applyBorder="1" applyAlignment="1" applyProtection="1">
      <alignment horizontal="center" vertical="center"/>
      <protection/>
    </xf>
    <xf numFmtId="168" fontId="22" fillId="0" borderId="10" xfId="52" applyFont="1" applyBorder="1" applyAlignment="1" applyProtection="1">
      <alignment horizontal="center" vertical="center"/>
      <protection/>
    </xf>
    <xf numFmtId="9" fontId="1" fillId="0" borderId="10" xfId="68" applyFont="1" applyBorder="1" applyAlignment="1" applyProtection="1">
      <alignment horizontal="center" vertical="center"/>
      <protection/>
    </xf>
    <xf numFmtId="0" fontId="0" fillId="0" borderId="10" xfId="55" applyFill="1" applyBorder="1" applyAlignment="1" applyProtection="1">
      <alignment horizontal="center" vertical="center"/>
      <protection/>
    </xf>
    <xf numFmtId="0" fontId="0" fillId="0" borderId="26" xfId="55" applyFill="1" applyBorder="1" applyAlignment="1" applyProtection="1">
      <alignment horizontal="center" vertical="center"/>
      <protection/>
    </xf>
    <xf numFmtId="168" fontId="22" fillId="0" borderId="10" xfId="55" applyNumberFormat="1" applyFont="1" applyBorder="1" applyAlignment="1" applyProtection="1">
      <alignment horizontal="center" vertical="center"/>
      <protection/>
    </xf>
    <xf numFmtId="9" fontId="1" fillId="0" borderId="10" xfId="68" applyFont="1" applyBorder="1" applyAlignment="1" applyProtection="1">
      <alignment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97" fillId="46" borderId="10" xfId="55" applyFont="1" applyFill="1" applyBorder="1" applyAlignment="1" applyProtection="1">
      <alignment horizontal="center" vertical="center" wrapText="1"/>
      <protection/>
    </xf>
    <xf numFmtId="0" fontId="97" fillId="46" borderId="10" xfId="55" applyFont="1" applyFill="1" applyBorder="1" applyAlignment="1" applyProtection="1">
      <alignment horizontal="center" vertical="center"/>
      <protection/>
    </xf>
    <xf numFmtId="0" fontId="32" fillId="46" borderId="10" xfId="55" applyFont="1" applyFill="1" applyBorder="1" applyAlignment="1" applyProtection="1">
      <alignment horizontal="center" vertical="center" wrapText="1"/>
      <protection/>
    </xf>
    <xf numFmtId="0" fontId="14" fillId="46" borderId="10" xfId="55" applyFont="1" applyFill="1" applyBorder="1" applyAlignment="1" applyProtection="1">
      <alignment horizontal="center" vertical="center" wrapText="1"/>
      <protection/>
    </xf>
    <xf numFmtId="0" fontId="96" fillId="46" borderId="10" xfId="55" applyFont="1" applyFill="1" applyBorder="1" applyAlignment="1" applyProtection="1">
      <alignment horizontal="left" vertical="center" wrapText="1"/>
      <protection/>
    </xf>
    <xf numFmtId="44" fontId="13" fillId="46" borderId="10" xfId="55" applyNumberFormat="1" applyFont="1" applyFill="1" applyBorder="1" applyAlignment="1" applyProtection="1">
      <alignment horizontal="center" vertical="center" wrapText="1"/>
      <protection/>
    </xf>
    <xf numFmtId="0" fontId="13" fillId="50" borderId="10" xfId="55" applyFont="1" applyFill="1" applyBorder="1" applyAlignment="1" applyProtection="1">
      <alignment vertical="center" wrapText="1"/>
      <protection/>
    </xf>
    <xf numFmtId="0" fontId="0" fillId="0" borderId="0" xfId="55" applyProtection="1">
      <alignment/>
      <protection locked="0"/>
    </xf>
    <xf numFmtId="43" fontId="62" fillId="48" borderId="84" xfId="83" applyFont="1" applyFill="1" applyBorder="1" applyAlignment="1" applyProtection="1">
      <alignment/>
      <protection locked="0"/>
    </xf>
    <xf numFmtId="43" fontId="62" fillId="48" borderId="10" xfId="83" applyFont="1" applyFill="1" applyBorder="1" applyAlignment="1" applyProtection="1">
      <alignment/>
      <protection locked="0"/>
    </xf>
    <xf numFmtId="43" fontId="62" fillId="48" borderId="85" xfId="83" applyFont="1" applyFill="1" applyBorder="1" applyAlignment="1" applyProtection="1">
      <alignment/>
      <protection locked="0"/>
    </xf>
    <xf numFmtId="43" fontId="72" fillId="48" borderId="85" xfId="83" applyFont="1" applyFill="1" applyBorder="1" applyAlignment="1" applyProtection="1">
      <alignment/>
      <protection locked="0"/>
    </xf>
    <xf numFmtId="43" fontId="72" fillId="48" borderId="86" xfId="83" applyFont="1" applyFill="1" applyBorder="1" applyAlignment="1" applyProtection="1">
      <alignment/>
      <protection locked="0"/>
    </xf>
    <xf numFmtId="0" fontId="35" fillId="48" borderId="87" xfId="58" applyFont="1" applyFill="1" applyBorder="1" applyAlignment="1" applyProtection="1">
      <alignment wrapText="1"/>
      <protection locked="0"/>
    </xf>
    <xf numFmtId="10" fontId="31" fillId="46" borderId="88" xfId="55" applyNumberFormat="1" applyFont="1" applyFill="1" applyBorder="1" applyAlignment="1" applyProtection="1">
      <alignment horizontal="center" vertical="center"/>
      <protection locked="0"/>
    </xf>
    <xf numFmtId="10" fontId="31" fillId="48" borderId="89" xfId="55" applyNumberFormat="1" applyFont="1" applyFill="1" applyBorder="1" applyAlignment="1" applyProtection="1">
      <alignment horizontal="center" vertical="center"/>
      <protection locked="0"/>
    </xf>
    <xf numFmtId="10" fontId="31" fillId="48" borderId="90" xfId="55" applyNumberFormat="1" applyFont="1" applyFill="1" applyBorder="1" applyAlignment="1" applyProtection="1">
      <alignment horizontal="center" vertical="center"/>
      <protection locked="0"/>
    </xf>
    <xf numFmtId="9" fontId="0" fillId="48" borderId="10" xfId="55" applyNumberFormat="1" applyFill="1" applyBorder="1" applyProtection="1">
      <alignment/>
      <protection locked="0"/>
    </xf>
    <xf numFmtId="0" fontId="1" fillId="0" borderId="10" xfId="55" applyFont="1" applyBorder="1" applyAlignment="1" applyProtection="1">
      <alignment horizontal="center" wrapText="1"/>
      <protection/>
    </xf>
    <xf numFmtId="0" fontId="1" fillId="0" borderId="10" xfId="55" applyFont="1" applyBorder="1" applyAlignment="1" applyProtection="1">
      <alignment horizontal="center" vertical="center" wrapText="1"/>
      <protection/>
    </xf>
    <xf numFmtId="0" fontId="1" fillId="0" borderId="10" xfId="55" applyFont="1" applyFill="1" applyBorder="1" applyAlignment="1" applyProtection="1">
      <alignment horizontal="center" vertical="center" wrapText="1"/>
      <protection/>
    </xf>
    <xf numFmtId="0" fontId="1" fillId="14" borderId="10" xfId="55" applyFont="1" applyFill="1" applyBorder="1" applyAlignment="1" applyProtection="1">
      <alignment horizontal="center" vertical="center" wrapText="1"/>
      <protection/>
    </xf>
    <xf numFmtId="0" fontId="0" fillId="0" borderId="35" xfId="55" applyBorder="1" applyAlignment="1" applyProtection="1">
      <alignment horizontal="center"/>
      <protection/>
    </xf>
    <xf numFmtId="0" fontId="0" fillId="0" borderId="10" xfId="55" applyFill="1" applyBorder="1" applyAlignment="1" applyProtection="1">
      <alignment horizontal="center"/>
      <protection/>
    </xf>
    <xf numFmtId="175" fontId="0" fillId="0" borderId="35" xfId="55" applyNumberFormat="1" applyBorder="1" applyProtection="1">
      <alignment/>
      <protection/>
    </xf>
    <xf numFmtId="9" fontId="0" fillId="0" borderId="35" xfId="55" applyNumberFormat="1" applyBorder="1" applyAlignment="1" applyProtection="1">
      <alignment horizontal="center"/>
      <protection/>
    </xf>
    <xf numFmtId="168" fontId="0" fillId="0" borderId="35" xfId="52" applyFont="1" applyBorder="1" applyAlignment="1" applyProtection="1">
      <alignment horizontal="center"/>
      <protection/>
    </xf>
    <xf numFmtId="9" fontId="0" fillId="0" borderId="10" xfId="55" applyNumberFormat="1" applyFill="1" applyBorder="1" applyAlignment="1" applyProtection="1">
      <alignment horizontal="center"/>
      <protection/>
    </xf>
    <xf numFmtId="176" fontId="0" fillId="14" borderId="35" xfId="55" applyNumberFormat="1" applyFill="1" applyBorder="1" applyAlignment="1" applyProtection="1">
      <alignment horizontal="center"/>
      <protection/>
    </xf>
    <xf numFmtId="0" fontId="0" fillId="0" borderId="10" xfId="55" applyBorder="1" applyAlignment="1" applyProtection="1">
      <alignment horizontal="center"/>
      <protection/>
    </xf>
    <xf numFmtId="9" fontId="0" fillId="0" borderId="10" xfId="55" applyNumberFormat="1" applyBorder="1" applyAlignment="1" applyProtection="1">
      <alignment horizontal="center"/>
      <protection/>
    </xf>
    <xf numFmtId="168" fontId="0" fillId="0" borderId="10" xfId="52" applyFont="1" applyBorder="1" applyAlignment="1" applyProtection="1">
      <alignment horizontal="center"/>
      <protection/>
    </xf>
    <xf numFmtId="176" fontId="0" fillId="14" borderId="10" xfId="55" applyNumberFormat="1" applyFill="1" applyBorder="1" applyAlignment="1" applyProtection="1">
      <alignment horizontal="center"/>
      <protection/>
    </xf>
    <xf numFmtId="175" fontId="0" fillId="0" borderId="10" xfId="55" applyNumberFormat="1" applyFont="1" applyBorder="1" applyAlignment="1" applyProtection="1">
      <alignment/>
      <protection/>
    </xf>
    <xf numFmtId="177" fontId="0" fillId="0" borderId="10" xfId="55" applyNumberFormat="1" applyBorder="1" applyAlignment="1" applyProtection="1">
      <alignment/>
      <protection/>
    </xf>
    <xf numFmtId="0" fontId="0" fillId="0" borderId="10" xfId="55" applyFont="1" applyBorder="1" applyProtection="1">
      <alignment/>
      <protection/>
    </xf>
    <xf numFmtId="0" fontId="0" fillId="0" borderId="0" xfId="55" applyBorder="1" applyProtection="1">
      <alignment/>
      <protection/>
    </xf>
    <xf numFmtId="0" fontId="0" fillId="0" borderId="0" xfId="55" applyFont="1" applyBorder="1" applyProtection="1">
      <alignment/>
      <protection/>
    </xf>
    <xf numFmtId="175" fontId="0" fillId="0" borderId="0" xfId="55" applyNumberFormat="1" applyBorder="1" applyProtection="1">
      <alignment/>
      <protection/>
    </xf>
    <xf numFmtId="9" fontId="0" fillId="0" borderId="0" xfId="55" applyNumberFormat="1" applyBorder="1" applyAlignment="1" applyProtection="1">
      <alignment horizontal="center"/>
      <protection/>
    </xf>
    <xf numFmtId="176" fontId="0" fillId="0" borderId="0" xfId="55" applyNumberFormat="1" applyBorder="1" applyAlignment="1" applyProtection="1">
      <alignment horizontal="center"/>
      <protection/>
    </xf>
    <xf numFmtId="0" fontId="0" fillId="0" borderId="10" xfId="55" applyBorder="1" applyProtection="1">
      <alignment/>
      <protection/>
    </xf>
    <xf numFmtId="0" fontId="1" fillId="0" borderId="10" xfId="55" applyFont="1" applyBorder="1" applyAlignment="1" applyProtection="1">
      <alignment vertical="center" wrapText="1"/>
      <protection/>
    </xf>
    <xf numFmtId="175" fontId="1" fillId="0" borderId="0" xfId="55" applyNumberFormat="1" applyFont="1" applyBorder="1" applyAlignment="1" applyProtection="1">
      <alignment wrapText="1"/>
      <protection/>
    </xf>
    <xf numFmtId="175" fontId="0" fillId="0" borderId="0" xfId="55" applyNumberFormat="1" applyFont="1" applyBorder="1" applyAlignment="1" applyProtection="1">
      <alignment/>
      <protection/>
    </xf>
    <xf numFmtId="177" fontId="0" fillId="0" borderId="0" xfId="55" applyNumberFormat="1" applyBorder="1" applyAlignment="1" applyProtection="1">
      <alignment/>
      <protection/>
    </xf>
    <xf numFmtId="180" fontId="0" fillId="0" borderId="10" xfId="55" applyNumberFormat="1" applyBorder="1" applyProtection="1">
      <alignment/>
      <protection/>
    </xf>
    <xf numFmtId="0" fontId="0" fillId="48" borderId="10" xfId="55" applyNumberFormat="1" applyFill="1" applyBorder="1" applyAlignment="1" applyProtection="1">
      <alignment horizontal="center"/>
      <protection/>
    </xf>
    <xf numFmtId="176" fontId="0" fillId="0" borderId="10" xfId="55" applyNumberFormat="1" applyBorder="1" applyProtection="1">
      <alignment/>
      <protection/>
    </xf>
    <xf numFmtId="0" fontId="0" fillId="0" borderId="0" xfId="55" applyAlignment="1" applyProtection="1">
      <alignment horizontal="center"/>
      <protection/>
    </xf>
    <xf numFmtId="0" fontId="0" fillId="46" borderId="10" xfId="55" applyFill="1" applyBorder="1" applyAlignment="1" applyProtection="1">
      <alignment horizontal="center"/>
      <protection/>
    </xf>
    <xf numFmtId="0" fontId="1" fillId="0" borderId="13" xfId="55" applyFont="1" applyBorder="1" applyAlignment="1" applyProtection="1">
      <alignment horizontal="center"/>
      <protection/>
    </xf>
    <xf numFmtId="9" fontId="1" fillId="0" borderId="10" xfId="55" applyNumberFormat="1" applyFont="1" applyBorder="1" applyProtection="1">
      <alignment/>
      <protection/>
    </xf>
    <xf numFmtId="0" fontId="0" fillId="0" borderId="11" xfId="55" applyBorder="1" applyProtection="1">
      <alignment/>
      <protection/>
    </xf>
    <xf numFmtId="0" fontId="0" fillId="0" borderId="13" xfId="55" applyFont="1" applyBorder="1" applyProtection="1">
      <alignment/>
      <protection/>
    </xf>
    <xf numFmtId="175" fontId="0" fillId="48" borderId="35" xfId="55" applyNumberFormat="1" applyFill="1" applyBorder="1" applyProtection="1">
      <alignment/>
      <protection locked="0"/>
    </xf>
    <xf numFmtId="168" fontId="0" fillId="48" borderId="10" xfId="52" applyFont="1" applyFill="1" applyBorder="1" applyAlignment="1" applyProtection="1">
      <alignment horizontal="center"/>
      <protection locked="0"/>
    </xf>
    <xf numFmtId="168" fontId="0" fillId="48" borderId="10" xfId="52" applyFont="1" applyFill="1" applyBorder="1" applyAlignment="1" applyProtection="1">
      <alignment/>
      <protection locked="0"/>
    </xf>
    <xf numFmtId="0" fontId="0" fillId="48" borderId="10" xfId="55" applyFill="1" applyBorder="1" applyProtection="1">
      <alignment/>
      <protection locked="0"/>
    </xf>
    <xf numFmtId="0" fontId="6" fillId="46" borderId="12" xfId="0" applyFont="1" applyFill="1" applyBorder="1" applyAlignment="1" applyProtection="1">
      <alignment vertical="center"/>
      <protection/>
    </xf>
    <xf numFmtId="0" fontId="6" fillId="46" borderId="0" xfId="0" applyFont="1" applyFill="1" applyBorder="1" applyAlignment="1" applyProtection="1">
      <alignment vertical="center"/>
      <protection/>
    </xf>
    <xf numFmtId="0" fontId="0" fillId="46" borderId="0" xfId="0" applyFill="1" applyAlignment="1" applyProtection="1">
      <alignment/>
      <protection/>
    </xf>
    <xf numFmtId="0" fontId="6" fillId="46" borderId="12" xfId="0" applyFont="1" applyFill="1" applyBorder="1" applyAlignment="1" applyProtection="1">
      <alignment horizontal="center" vertical="center"/>
      <protection/>
    </xf>
    <xf numFmtId="0" fontId="6" fillId="46" borderId="0" xfId="0" applyFont="1" applyFill="1" applyBorder="1" applyAlignment="1" applyProtection="1">
      <alignment horizontal="center" vertical="center"/>
      <protection/>
    </xf>
    <xf numFmtId="0" fontId="1" fillId="46" borderId="0" xfId="0" applyFont="1" applyFill="1" applyBorder="1" applyAlignment="1" applyProtection="1">
      <alignment vertical="center" wrapText="1"/>
      <protection/>
    </xf>
    <xf numFmtId="0" fontId="6" fillId="46" borderId="11" xfId="0" applyFont="1" applyFill="1" applyBorder="1" applyAlignment="1" applyProtection="1">
      <alignment vertical="center"/>
      <protection/>
    </xf>
    <xf numFmtId="0" fontId="6" fillId="46" borderId="14" xfId="0" applyFont="1" applyFill="1" applyBorder="1" applyAlignment="1" applyProtection="1">
      <alignment vertical="center"/>
      <protection/>
    </xf>
    <xf numFmtId="0" fontId="6" fillId="46" borderId="10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168" fontId="0" fillId="0" borderId="0" xfId="46" applyFont="1" applyAlignment="1" applyProtection="1">
      <alignment horizontal="center"/>
      <protection/>
    </xf>
    <xf numFmtId="168" fontId="1" fillId="46" borderId="10" xfId="46" applyFont="1" applyFill="1" applyBorder="1" applyAlignment="1" applyProtection="1">
      <alignment horizontal="center" vertical="center" wrapText="1"/>
      <protection/>
    </xf>
    <xf numFmtId="168" fontId="1" fillId="46" borderId="26" xfId="46" applyFont="1" applyFill="1" applyBorder="1" applyAlignment="1" applyProtection="1">
      <alignment horizontal="center" vertical="center" wrapText="1"/>
      <protection/>
    </xf>
    <xf numFmtId="0" fontId="0" fillId="46" borderId="0" xfId="0" applyFill="1" applyBorder="1" applyAlignment="1" applyProtection="1">
      <alignment/>
      <protection/>
    </xf>
    <xf numFmtId="178" fontId="1" fillId="46" borderId="0" xfId="0" applyNumberFormat="1" applyFont="1" applyFill="1" applyBorder="1" applyAlignment="1" applyProtection="1">
      <alignment horizontal="center" vertical="center" wrapText="1"/>
      <protection/>
    </xf>
    <xf numFmtId="0" fontId="1" fillId="51" borderId="26" xfId="0" applyFont="1" applyFill="1" applyBorder="1" applyAlignment="1" applyProtection="1">
      <alignment vertical="center"/>
      <protection/>
    </xf>
    <xf numFmtId="0" fontId="1" fillId="51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" fillId="44" borderId="10" xfId="0" applyFont="1" applyFill="1" applyBorder="1" applyAlignment="1" applyProtection="1">
      <alignment horizontal="center" vertical="center"/>
      <protection/>
    </xf>
    <xf numFmtId="0" fontId="1" fillId="8" borderId="10" xfId="0" applyFont="1" applyFill="1" applyBorder="1" applyAlignment="1" applyProtection="1">
      <alignment horizontal="center" vertical="center" wrapText="1"/>
      <protection/>
    </xf>
    <xf numFmtId="0" fontId="1" fillId="8" borderId="26" xfId="0" applyFont="1" applyFill="1" applyBorder="1" applyAlignment="1" applyProtection="1">
      <alignment horizontal="center" vertical="center" wrapText="1"/>
      <protection/>
    </xf>
    <xf numFmtId="168" fontId="1" fillId="8" borderId="26" xfId="46" applyFont="1" applyFill="1" applyBorder="1" applyAlignment="1" applyProtection="1">
      <alignment horizontal="center" vertical="center" wrapText="1"/>
      <protection/>
    </xf>
    <xf numFmtId="0" fontId="1" fillId="19" borderId="10" xfId="0" applyFont="1" applyFill="1" applyBorder="1" applyAlignment="1" applyProtection="1">
      <alignment horizontal="center" vertical="center"/>
      <protection/>
    </xf>
    <xf numFmtId="0" fontId="1" fillId="19" borderId="10" xfId="0" applyFont="1" applyFill="1" applyBorder="1" applyAlignment="1" applyProtection="1">
      <alignment horizontal="center" vertical="center" wrapText="1"/>
      <protection/>
    </xf>
    <xf numFmtId="0" fontId="1" fillId="51" borderId="35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0" fontId="1" fillId="46" borderId="0" xfId="0" applyFont="1" applyFill="1" applyBorder="1" applyAlignment="1" applyProtection="1">
      <alignment horizontal="center" vertical="center"/>
      <protection/>
    </xf>
    <xf numFmtId="0" fontId="1" fillId="46" borderId="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2" fontId="0" fillId="46" borderId="10" xfId="0" applyNumberFormat="1" applyFill="1" applyBorder="1" applyAlignment="1" applyProtection="1">
      <alignment horizontal="center"/>
      <protection/>
    </xf>
    <xf numFmtId="2" fontId="0" fillId="46" borderId="1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175" fontId="0" fillId="46" borderId="0" xfId="0" applyNumberFormat="1" applyFill="1" applyBorder="1" applyAlignment="1" applyProtection="1">
      <alignment vertical="center"/>
      <protection/>
    </xf>
    <xf numFmtId="2" fontId="0" fillId="46" borderId="0" xfId="0" applyNumberFormat="1" applyFill="1" applyBorder="1" applyAlignment="1" applyProtection="1">
      <alignment vertical="center"/>
      <protection/>
    </xf>
    <xf numFmtId="0" fontId="0" fillId="46" borderId="0" xfId="0" applyFill="1" applyBorder="1" applyAlignment="1" applyProtection="1">
      <alignment horizontal="center"/>
      <protection/>
    </xf>
    <xf numFmtId="10" fontId="0" fillId="46" borderId="0" xfId="65" applyNumberFormat="1" applyFont="1" applyFill="1" applyBorder="1" applyAlignment="1" applyProtection="1">
      <alignment vertical="center"/>
      <protection/>
    </xf>
    <xf numFmtId="0" fontId="0" fillId="46" borderId="0" xfId="0" applyFill="1" applyBorder="1" applyAlignment="1" applyProtection="1">
      <alignment horizontal="center" vertical="center"/>
      <protection/>
    </xf>
    <xf numFmtId="0" fontId="0" fillId="46" borderId="0" xfId="0" applyFill="1" applyBorder="1" applyAlignment="1" applyProtection="1">
      <alignment horizontal="center" vertical="center" wrapText="1"/>
      <protection/>
    </xf>
    <xf numFmtId="175" fontId="0" fillId="46" borderId="0" xfId="0" applyNumberFormat="1" applyFill="1" applyBorder="1" applyAlignment="1" applyProtection="1">
      <alignment horizontal="center" vertical="center"/>
      <protection/>
    </xf>
    <xf numFmtId="10" fontId="0" fillId="46" borderId="0" xfId="65" applyNumberFormat="1" applyFont="1" applyFill="1" applyBorder="1" applyAlignment="1" applyProtection="1">
      <alignment horizontal="center" vertical="center"/>
      <protection/>
    </xf>
    <xf numFmtId="175" fontId="0" fillId="46" borderId="0" xfId="0" applyNumberFormat="1" applyFill="1" applyBorder="1" applyAlignment="1" applyProtection="1">
      <alignment vertical="center" wrapText="1"/>
      <protection/>
    </xf>
    <xf numFmtId="0" fontId="0" fillId="46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2" fontId="98" fillId="0" borderId="0" xfId="0" applyNumberFormat="1" applyFont="1" applyBorder="1" applyAlignment="1" applyProtection="1">
      <alignment/>
      <protection/>
    </xf>
    <xf numFmtId="0" fontId="0" fillId="46" borderId="0" xfId="0" applyFill="1" applyBorder="1" applyAlignment="1" applyProtection="1">
      <alignment/>
      <protection/>
    </xf>
    <xf numFmtId="1" fontId="0" fillId="46" borderId="0" xfId="65" applyNumberFormat="1" applyFont="1" applyFill="1" applyBorder="1" applyAlignment="1" applyProtection="1">
      <alignment horizontal="center" vertical="center"/>
      <protection/>
    </xf>
    <xf numFmtId="175" fontId="0" fillId="46" borderId="0" xfId="0" applyNumberFormat="1" applyFill="1" applyBorder="1" applyAlignment="1" applyProtection="1">
      <alignment/>
      <protection/>
    </xf>
    <xf numFmtId="0" fontId="1" fillId="44" borderId="10" xfId="0" applyFont="1" applyFill="1" applyBorder="1" applyAlignment="1" applyProtection="1">
      <alignment vertical="center"/>
      <protection/>
    </xf>
    <xf numFmtId="0" fontId="1" fillId="8" borderId="10" xfId="0" applyFont="1" applyFill="1" applyBorder="1" applyAlignment="1" applyProtection="1">
      <alignment vertical="center" wrapText="1"/>
      <protection/>
    </xf>
    <xf numFmtId="168" fontId="1" fillId="8" borderId="10" xfId="46" applyFont="1" applyFill="1" applyBorder="1" applyAlignment="1" applyProtection="1">
      <alignment vertical="center" wrapText="1"/>
      <protection/>
    </xf>
    <xf numFmtId="168" fontId="1" fillId="8" borderId="26" xfId="46" applyFont="1" applyFill="1" applyBorder="1" applyAlignment="1" applyProtection="1">
      <alignment vertical="center" wrapText="1"/>
      <protection/>
    </xf>
    <xf numFmtId="0" fontId="1" fillId="19" borderId="10" xfId="0" applyFont="1" applyFill="1" applyBorder="1" applyAlignment="1" applyProtection="1">
      <alignment vertical="center"/>
      <protection/>
    </xf>
    <xf numFmtId="0" fontId="1" fillId="19" borderId="10" xfId="0" applyFont="1" applyFill="1" applyBorder="1" applyAlignment="1" applyProtection="1">
      <alignment vertical="center" wrapText="1"/>
      <protection/>
    </xf>
    <xf numFmtId="0" fontId="1" fillId="51" borderId="10" xfId="0" applyFont="1" applyFill="1" applyBorder="1" applyAlignment="1" applyProtection="1">
      <alignment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Font="1" applyBorder="1" applyAlignment="1" applyProtection="1">
      <alignment/>
      <protection/>
    </xf>
    <xf numFmtId="0" fontId="1" fillId="46" borderId="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2" fontId="13" fillId="0" borderId="12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168" fontId="0" fillId="46" borderId="0" xfId="46" applyFont="1" applyFill="1" applyBorder="1" applyAlignment="1" applyProtection="1">
      <alignment vertical="center"/>
      <protection/>
    </xf>
    <xf numFmtId="178" fontId="0" fillId="46" borderId="0" xfId="0" applyNumberFormat="1" applyFill="1" applyBorder="1" applyAlignment="1" applyProtection="1">
      <alignment vertical="center"/>
      <protection/>
    </xf>
    <xf numFmtId="0" fontId="0" fillId="46" borderId="0" xfId="0" applyFill="1" applyBorder="1" applyAlignment="1" applyProtection="1">
      <alignment vertical="center"/>
      <protection/>
    </xf>
    <xf numFmtId="1" fontId="0" fillId="46" borderId="0" xfId="0" applyNumberFormat="1" applyFill="1" applyBorder="1" applyAlignment="1" applyProtection="1">
      <alignment horizontal="center"/>
      <protection/>
    </xf>
    <xf numFmtId="2" fontId="0" fillId="46" borderId="0" xfId="0" applyNumberFormat="1" applyFill="1" applyBorder="1" applyAlignment="1" applyProtection="1">
      <alignment horizontal="center"/>
      <protection/>
    </xf>
    <xf numFmtId="2" fontId="0" fillId="46" borderId="0" xfId="0" applyNumberFormat="1" applyFill="1" applyBorder="1" applyAlignment="1" applyProtection="1">
      <alignment/>
      <protection/>
    </xf>
    <xf numFmtId="0" fontId="0" fillId="46" borderId="0" xfId="0" applyFont="1" applyFill="1" applyBorder="1" applyAlignment="1" applyProtection="1">
      <alignment vertical="center" wrapText="1"/>
      <protection/>
    </xf>
    <xf numFmtId="0" fontId="35" fillId="46" borderId="0" xfId="0" applyFont="1" applyFill="1" applyBorder="1" applyAlignment="1" applyProtection="1">
      <alignment horizontal="center" vertical="center"/>
      <protection/>
    </xf>
    <xf numFmtId="168" fontId="0" fillId="46" borderId="0" xfId="0" applyNumberFormat="1" applyFill="1" applyBorder="1" applyAlignment="1" applyProtection="1">
      <alignment horizontal="center" vertical="center"/>
      <protection/>
    </xf>
    <xf numFmtId="10" fontId="0" fillId="46" borderId="0" xfId="65" applyNumberFormat="1" applyFont="1" applyFill="1" applyBorder="1" applyAlignment="1" applyProtection="1">
      <alignment horizontal="center" vertical="center" wrapText="1"/>
      <protection/>
    </xf>
    <xf numFmtId="0" fontId="1" fillId="19" borderId="26" xfId="0" applyFont="1" applyFill="1" applyBorder="1" applyAlignment="1" applyProtection="1">
      <alignment horizontal="center" vertical="center"/>
      <protection/>
    </xf>
    <xf numFmtId="0" fontId="1" fillId="19" borderId="10" xfId="0" applyFont="1" applyFill="1" applyBorder="1" applyAlignment="1" applyProtection="1">
      <alignment wrapText="1"/>
      <protection/>
    </xf>
    <xf numFmtId="0" fontId="1" fillId="19" borderId="26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46" borderId="0" xfId="0" applyFont="1" applyFill="1" applyBorder="1" applyAlignment="1" applyProtection="1">
      <alignment/>
      <protection/>
    </xf>
    <xf numFmtId="0" fontId="0" fillId="46" borderId="0" xfId="0" applyFont="1" applyFill="1" applyBorder="1" applyAlignment="1" applyProtection="1">
      <alignment vertical="center"/>
      <protection/>
    </xf>
    <xf numFmtId="0" fontId="0" fillId="46" borderId="0" xfId="0" applyFont="1" applyFill="1" applyBorder="1" applyAlignment="1" applyProtection="1">
      <alignment/>
      <protection/>
    </xf>
    <xf numFmtId="178" fontId="0" fillId="46" borderId="0" xfId="0" applyNumberFormat="1" applyFont="1" applyFill="1" applyBorder="1" applyAlignment="1" applyProtection="1">
      <alignment vertical="center"/>
      <protection/>
    </xf>
    <xf numFmtId="175" fontId="0" fillId="46" borderId="0" xfId="0" applyNumberFormat="1" applyFont="1" applyFill="1" applyBorder="1" applyAlignment="1" applyProtection="1">
      <alignment vertical="center" wrapText="1"/>
      <protection/>
    </xf>
    <xf numFmtId="10" fontId="0" fillId="46" borderId="0" xfId="65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178" fontId="0" fillId="46" borderId="0" xfId="0" applyNumberFormat="1" applyFont="1" applyFill="1" applyBorder="1" applyAlignment="1" applyProtection="1">
      <alignment horizontal="center" vertical="center"/>
      <protection/>
    </xf>
    <xf numFmtId="175" fontId="0" fillId="46" borderId="0" xfId="46" applyNumberFormat="1" applyFont="1" applyFill="1" applyBorder="1" applyAlignment="1" applyProtection="1">
      <alignment vertical="center"/>
      <protection/>
    </xf>
    <xf numFmtId="0" fontId="0" fillId="46" borderId="0" xfId="0" applyFont="1" applyFill="1" applyBorder="1" applyAlignment="1" applyProtection="1">
      <alignment horizontal="center"/>
      <protection/>
    </xf>
    <xf numFmtId="2" fontId="0" fillId="46" borderId="0" xfId="0" applyNumberFormat="1" applyFont="1" applyFill="1" applyBorder="1" applyAlignment="1" applyProtection="1">
      <alignment horizontal="center"/>
      <protection/>
    </xf>
    <xf numFmtId="2" fontId="0" fillId="46" borderId="0" xfId="0" applyNumberFormat="1" applyFont="1" applyFill="1" applyBorder="1" applyAlignment="1" applyProtection="1">
      <alignment/>
      <protection/>
    </xf>
    <xf numFmtId="0" fontId="0" fillId="46" borderId="13" xfId="0" applyFont="1" applyFill="1" applyBorder="1" applyAlignment="1" applyProtection="1">
      <alignment/>
      <protection/>
    </xf>
    <xf numFmtId="175" fontId="0" fillId="46" borderId="0" xfId="0" applyNumberFormat="1" applyFont="1" applyFill="1" applyBorder="1" applyAlignment="1" applyProtection="1">
      <alignment vertical="center"/>
      <protection/>
    </xf>
    <xf numFmtId="0" fontId="0" fillId="46" borderId="0" xfId="0" applyFont="1" applyFill="1" applyBorder="1" applyAlignment="1" applyProtection="1">
      <alignment horizontal="center" vertical="center" wrapText="1"/>
      <protection/>
    </xf>
    <xf numFmtId="178" fontId="0" fillId="46" borderId="0" xfId="0" applyNumberFormat="1" applyFill="1" applyBorder="1" applyAlignment="1" applyProtection="1">
      <alignment horizontal="center" vertical="center"/>
      <protection/>
    </xf>
    <xf numFmtId="175" fontId="0" fillId="46" borderId="0" xfId="0" applyNumberFormat="1" applyFill="1" applyBorder="1" applyAlignment="1" applyProtection="1">
      <alignment horizontal="center" vertical="center" wrapText="1"/>
      <protection/>
    </xf>
    <xf numFmtId="168" fontId="0" fillId="46" borderId="0" xfId="46" applyFont="1" applyFill="1" applyBorder="1" applyAlignment="1" applyProtection="1">
      <alignment horizontal="center" vertical="center"/>
      <protection/>
    </xf>
    <xf numFmtId="168" fontId="0" fillId="46" borderId="0" xfId="46" applyFont="1" applyFill="1" applyBorder="1" applyAlignment="1" applyProtection="1">
      <alignment horizontal="center" vertical="center" wrapText="1"/>
      <protection/>
    </xf>
    <xf numFmtId="168" fontId="0" fillId="46" borderId="0" xfId="46" applyFont="1" applyFill="1" applyBorder="1" applyAlignment="1" applyProtection="1">
      <alignment horizontal="center" vertical="center"/>
      <protection/>
    </xf>
    <xf numFmtId="177" fontId="0" fillId="46" borderId="0" xfId="0" applyNumberFormat="1" applyFill="1" applyBorder="1" applyAlignment="1" applyProtection="1">
      <alignment horizontal="center" vertical="center"/>
      <protection/>
    </xf>
    <xf numFmtId="175" fontId="1" fillId="46" borderId="0" xfId="0" applyNumberFormat="1" applyFont="1" applyFill="1" applyBorder="1" applyAlignment="1" applyProtection="1">
      <alignment horizontal="center" vertical="center"/>
      <protection/>
    </xf>
    <xf numFmtId="9" fontId="0" fillId="48" borderId="10" xfId="65" applyFont="1" applyFill="1" applyBorder="1" applyAlignment="1" applyProtection="1">
      <alignment horizontal="center" vertical="center" wrapText="1"/>
      <protection/>
    </xf>
    <xf numFmtId="0" fontId="1" fillId="8" borderId="10" xfId="0" applyFont="1" applyFill="1" applyBorder="1" applyAlignment="1" applyProtection="1">
      <alignment horizontal="center" vertical="center"/>
      <protection/>
    </xf>
    <xf numFmtId="168" fontId="1" fillId="8" borderId="10" xfId="46" applyFont="1" applyFill="1" applyBorder="1" applyAlignment="1" applyProtection="1">
      <alignment horizontal="center" vertical="center" wrapText="1"/>
      <protection/>
    </xf>
    <xf numFmtId="0" fontId="1" fillId="51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46" borderId="10" xfId="0" applyFont="1" applyFill="1" applyBorder="1" applyAlignment="1" applyProtection="1">
      <alignment horizontal="center" vertical="center"/>
      <protection/>
    </xf>
    <xf numFmtId="0" fontId="34" fillId="46" borderId="10" xfId="0" applyFont="1" applyFill="1" applyBorder="1" applyAlignment="1" applyProtection="1">
      <alignment horizontal="left" vertical="center" wrapText="1"/>
      <protection/>
    </xf>
    <xf numFmtId="175" fontId="0" fillId="46" borderId="10" xfId="0" applyNumberFormat="1" applyFont="1" applyFill="1" applyBorder="1" applyAlignment="1" applyProtection="1">
      <alignment vertical="center"/>
      <protection/>
    </xf>
    <xf numFmtId="0" fontId="6" fillId="46" borderId="0" xfId="0" applyFont="1" applyFill="1" applyBorder="1" applyAlignment="1" applyProtection="1">
      <alignment vertical="center"/>
      <protection locked="0"/>
    </xf>
    <xf numFmtId="9" fontId="6" fillId="48" borderId="10" xfId="65" applyFont="1" applyFill="1" applyBorder="1" applyAlignment="1" applyProtection="1">
      <alignment horizontal="center" vertical="center"/>
      <protection locked="0"/>
    </xf>
    <xf numFmtId="175" fontId="1" fillId="48" borderId="10" xfId="0" applyNumberFormat="1" applyFont="1" applyFill="1" applyBorder="1" applyAlignment="1" applyProtection="1">
      <alignment horizontal="center" vertical="center"/>
      <protection locked="0"/>
    </xf>
    <xf numFmtId="10" fontId="1" fillId="27" borderId="26" xfId="0" applyNumberFormat="1" applyFont="1" applyFill="1" applyBorder="1" applyAlignment="1" applyProtection="1">
      <alignment horizontal="center" vertical="center"/>
      <protection locked="0"/>
    </xf>
    <xf numFmtId="10" fontId="6" fillId="48" borderId="26" xfId="65" applyNumberFormat="1" applyFont="1" applyFill="1" applyBorder="1" applyAlignment="1" applyProtection="1">
      <alignment horizontal="center" vertical="center"/>
      <protection locked="0"/>
    </xf>
    <xf numFmtId="175" fontId="1" fillId="27" borderId="10" xfId="0" applyNumberFormat="1" applyFont="1" applyFill="1" applyBorder="1" applyAlignment="1" applyProtection="1">
      <alignment horizontal="center" vertical="center"/>
      <protection locked="0"/>
    </xf>
    <xf numFmtId="0" fontId="0" fillId="48" borderId="10" xfId="0" applyFill="1" applyBorder="1" applyAlignment="1" applyProtection="1">
      <alignment horizontal="center"/>
      <protection locked="0"/>
    </xf>
    <xf numFmtId="1" fontId="0" fillId="48" borderId="10" xfId="0" applyNumberFormat="1" applyFill="1" applyBorder="1" applyAlignment="1" applyProtection="1">
      <alignment horizontal="center"/>
      <protection locked="0"/>
    </xf>
    <xf numFmtId="0" fontId="0" fillId="48" borderId="10" xfId="0" applyFont="1" applyFill="1" applyBorder="1" applyAlignment="1" applyProtection="1">
      <alignment horizontal="center"/>
      <protection locked="0"/>
    </xf>
    <xf numFmtId="0" fontId="0" fillId="48" borderId="26" xfId="0" applyFont="1" applyFill="1" applyBorder="1" applyAlignment="1" applyProtection="1">
      <alignment horizontal="center"/>
      <protection locked="0"/>
    </xf>
    <xf numFmtId="175" fontId="0" fillId="48" borderId="10" xfId="0" applyNumberFormat="1" applyFont="1" applyFill="1" applyBorder="1" applyAlignment="1" applyProtection="1">
      <alignment vertical="center"/>
      <protection locked="0"/>
    </xf>
    <xf numFmtId="0" fontId="34" fillId="48" borderId="10" xfId="0" applyFont="1" applyFill="1" applyBorder="1" applyAlignment="1" applyProtection="1">
      <alignment horizontal="left" vertical="center" wrapText="1"/>
      <protection locked="0"/>
    </xf>
    <xf numFmtId="0" fontId="4" fillId="33" borderId="9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0" fillId="33" borderId="9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93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173" fontId="23" fillId="35" borderId="0" xfId="0" applyNumberFormat="1" applyFont="1" applyFill="1" applyBorder="1" applyAlignment="1" applyProtection="1">
      <alignment/>
      <protection/>
    </xf>
    <xf numFmtId="0" fontId="0" fillId="35" borderId="24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49" fontId="26" fillId="33" borderId="17" xfId="0" applyNumberFormat="1" applyFont="1" applyFill="1" applyBorder="1" applyAlignment="1">
      <alignment horizontal="justify" vertical="justify" wrapText="1"/>
    </xf>
    <xf numFmtId="0" fontId="26" fillId="33" borderId="0" xfId="0" applyFont="1" applyFill="1" applyBorder="1" applyAlignment="1">
      <alignment horizontal="justify" vertical="justify" wrapText="1"/>
    </xf>
    <xf numFmtId="0" fontId="26" fillId="33" borderId="18" xfId="0" applyFont="1" applyFill="1" applyBorder="1" applyAlignment="1">
      <alignment horizontal="justify" vertical="justify" wrapText="1"/>
    </xf>
    <xf numFmtId="0" fontId="0" fillId="35" borderId="25" xfId="0" applyFill="1" applyBorder="1" applyAlignment="1">
      <alignment/>
    </xf>
    <xf numFmtId="169" fontId="6" fillId="37" borderId="11" xfId="0" applyNumberFormat="1" applyFont="1" applyFill="1" applyBorder="1" applyAlignment="1">
      <alignment horizontal="right"/>
    </xf>
    <xf numFmtId="169" fontId="6" fillId="37" borderId="13" xfId="0" applyNumberFormat="1" applyFont="1" applyFill="1" applyBorder="1" applyAlignment="1">
      <alignment horizontal="right"/>
    </xf>
    <xf numFmtId="166" fontId="0" fillId="0" borderId="10" xfId="46" applyNumberFormat="1" applyFont="1" applyFill="1" applyBorder="1" applyAlignment="1" applyProtection="1">
      <alignment horizontal="right" vertical="center"/>
      <protection locked="0"/>
    </xf>
    <xf numFmtId="166" fontId="0" fillId="36" borderId="11" xfId="46" applyNumberFormat="1" applyFont="1" applyFill="1" applyBorder="1" applyAlignment="1">
      <alignment horizontal="right" vertical="center"/>
    </xf>
    <xf numFmtId="166" fontId="0" fillId="36" borderId="13" xfId="46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39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169" fontId="6" fillId="37" borderId="10" xfId="0" applyNumberFormat="1" applyFont="1" applyFill="1" applyBorder="1" applyAlignment="1">
      <alignment horizontal="right"/>
    </xf>
    <xf numFmtId="166" fontId="0" fillId="0" borderId="11" xfId="46" applyNumberFormat="1" applyFont="1" applyFill="1" applyBorder="1" applyAlignment="1" applyProtection="1">
      <alignment horizontal="right" vertical="center"/>
      <protection locked="0"/>
    </xf>
    <xf numFmtId="166" fontId="0" fillId="0" borderId="13" xfId="46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horizontal="center" vertical="top"/>
      <protection locked="0"/>
    </xf>
    <xf numFmtId="0" fontId="0" fillId="52" borderId="10" xfId="0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right"/>
    </xf>
    <xf numFmtId="0" fontId="6" fillId="35" borderId="14" xfId="0" applyFont="1" applyFill="1" applyBorder="1" applyAlignment="1">
      <alignment horizontal="right"/>
    </xf>
    <xf numFmtId="0" fontId="6" fillId="35" borderId="13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top"/>
      <protection locked="0"/>
    </xf>
    <xf numFmtId="0" fontId="13" fillId="35" borderId="26" xfId="0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right" vertical="center"/>
    </xf>
    <xf numFmtId="0" fontId="13" fillId="35" borderId="14" xfId="0" applyFont="1" applyFill="1" applyBorder="1" applyAlignment="1">
      <alignment horizontal="right" vertical="center"/>
    </xf>
    <xf numFmtId="0" fontId="13" fillId="35" borderId="13" xfId="0" applyFont="1" applyFill="1" applyBorder="1" applyAlignment="1">
      <alignment horizontal="right" vertical="center"/>
    </xf>
    <xf numFmtId="170" fontId="1" fillId="36" borderId="11" xfId="0" applyNumberFormat="1" applyFont="1" applyFill="1" applyBorder="1" applyAlignment="1">
      <alignment horizontal="right"/>
    </xf>
    <xf numFmtId="170" fontId="1" fillId="36" borderId="13" xfId="0" applyNumberFormat="1" applyFont="1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0" fillId="35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169" fontId="0" fillId="36" borderId="10" xfId="0" applyNumberFormat="1" applyFill="1" applyBorder="1" applyAlignment="1">
      <alignment horizontal="right"/>
    </xf>
    <xf numFmtId="0" fontId="18" fillId="35" borderId="11" xfId="0" applyFont="1" applyFill="1" applyBorder="1" applyAlignment="1">
      <alignment horizontal="right"/>
    </xf>
    <xf numFmtId="0" fontId="18" fillId="35" borderId="14" xfId="0" applyFont="1" applyFill="1" applyBorder="1" applyAlignment="1">
      <alignment horizontal="right"/>
    </xf>
    <xf numFmtId="0" fontId="18" fillId="35" borderId="13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17" fontId="0" fillId="0" borderId="10" xfId="0" applyNumberForma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1" fillId="35" borderId="1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9" fillId="35" borderId="26" xfId="0" applyFont="1" applyFill="1" applyBorder="1" applyAlignment="1">
      <alignment horizontal="center" wrapText="1"/>
    </xf>
    <xf numFmtId="0" fontId="19" fillId="35" borderId="35" xfId="0" applyFont="1" applyFill="1" applyBorder="1" applyAlignment="1">
      <alignment horizontal="center" wrapText="1"/>
    </xf>
    <xf numFmtId="166" fontId="0" fillId="0" borderId="11" xfId="46" applyNumberFormat="1" applyFill="1" applyBorder="1" applyAlignment="1" applyProtection="1">
      <alignment horizontal="right" vertical="center"/>
      <protection locked="0"/>
    </xf>
    <xf numFmtId="166" fontId="0" fillId="0" borderId="13" xfId="46" applyNumberFormat="1" applyFill="1" applyBorder="1" applyAlignment="1" applyProtection="1">
      <alignment horizontal="right" vertical="center"/>
      <protection locked="0"/>
    </xf>
    <xf numFmtId="17" fontId="0" fillId="0" borderId="11" xfId="0" applyNumberFormat="1" applyFill="1" applyBorder="1" applyAlignment="1" applyProtection="1">
      <alignment vertical="top"/>
      <protection locked="0"/>
    </xf>
    <xf numFmtId="17" fontId="0" fillId="0" borderId="13" xfId="0" applyNumberForma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13" fillId="35" borderId="11" xfId="0" applyFont="1" applyFill="1" applyBorder="1" applyAlignment="1">
      <alignment horizontal="right"/>
    </xf>
    <xf numFmtId="0" fontId="13" fillId="35" borderId="14" xfId="0" applyFont="1" applyFill="1" applyBorder="1" applyAlignment="1">
      <alignment horizontal="right"/>
    </xf>
    <xf numFmtId="0" fontId="13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/>
    </xf>
    <xf numFmtId="169" fontId="6" fillId="35" borderId="11" xfId="0" applyNumberFormat="1" applyFont="1" applyFill="1" applyBorder="1" applyAlignment="1">
      <alignment horizontal="right"/>
    </xf>
    <xf numFmtId="169" fontId="6" fillId="35" borderId="14" xfId="0" applyNumberFormat="1" applyFont="1" applyFill="1" applyBorder="1" applyAlignment="1">
      <alignment horizontal="right"/>
    </xf>
    <xf numFmtId="169" fontId="6" fillId="35" borderId="13" xfId="0" applyNumberFormat="1" applyFont="1" applyFill="1" applyBorder="1" applyAlignment="1">
      <alignment horizontal="right"/>
    </xf>
    <xf numFmtId="171" fontId="0" fillId="0" borderId="11" xfId="81" applyNumberFormat="1" applyFont="1" applyFill="1" applyBorder="1" applyAlignment="1" applyProtection="1">
      <alignment vertical="top"/>
      <protection locked="0"/>
    </xf>
    <xf numFmtId="171" fontId="0" fillId="0" borderId="14" xfId="81" applyNumberFormat="1" applyFont="1" applyFill="1" applyBorder="1" applyAlignment="1" applyProtection="1">
      <alignment vertical="top"/>
      <protection locked="0"/>
    </xf>
    <xf numFmtId="171" fontId="0" fillId="0" borderId="13" xfId="81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horizontal="right"/>
    </xf>
    <xf numFmtId="10" fontId="1" fillId="36" borderId="10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10" fontId="0" fillId="36" borderId="10" xfId="0" applyNumberFormat="1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5" borderId="51" xfId="0" applyFont="1" applyFill="1" applyBorder="1" applyAlignment="1">
      <alignment horizontal="left"/>
    </xf>
    <xf numFmtId="0" fontId="1" fillId="0" borderId="0" xfId="55" applyFont="1" applyBorder="1" applyAlignment="1" applyProtection="1">
      <alignment horizontal="center" vertical="center" wrapText="1"/>
      <protection/>
    </xf>
    <xf numFmtId="0" fontId="22" fillId="0" borderId="10" xfId="55" applyFont="1" applyBorder="1" applyAlignment="1" applyProtection="1">
      <alignment horizontal="right"/>
      <protection/>
    </xf>
    <xf numFmtId="0" fontId="22" fillId="0" borderId="22" xfId="55" applyFont="1" applyBorder="1" applyAlignment="1" applyProtection="1">
      <alignment horizontal="center" vertical="center"/>
      <protection/>
    </xf>
    <xf numFmtId="0" fontId="22" fillId="0" borderId="10" xfId="55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35" fillId="0" borderId="85" xfId="58" applyFont="1" applyBorder="1" applyAlignment="1">
      <alignment horizontal="justify" vertical="center" wrapText="1"/>
      <protection/>
    </xf>
    <xf numFmtId="0" fontId="72" fillId="0" borderId="0" xfId="56" applyFont="1" applyAlignment="1">
      <alignment horizontal="justify" vertical="justify"/>
      <protection/>
    </xf>
    <xf numFmtId="0" fontId="35" fillId="0" borderId="0" xfId="56" applyFont="1" applyAlignment="1">
      <alignment horizontal="justify" vertical="justify"/>
      <protection/>
    </xf>
    <xf numFmtId="0" fontId="72" fillId="0" borderId="0" xfId="56" applyFont="1" applyAlignment="1">
      <alignment horizontal="justify" vertical="center"/>
      <protection/>
    </xf>
    <xf numFmtId="0" fontId="35" fillId="0" borderId="0" xfId="56" applyFont="1" applyAlignment="1">
      <alignment horizontal="justify" vertical="center"/>
      <protection/>
    </xf>
    <xf numFmtId="0" fontId="35" fillId="0" borderId="24" xfId="56" applyFont="1" applyBorder="1" applyAlignment="1">
      <alignment horizontal="justify" vertical="center"/>
      <protection/>
    </xf>
    <xf numFmtId="0" fontId="35" fillId="0" borderId="86" xfId="58" applyFont="1" applyBorder="1" applyAlignment="1">
      <alignment horizontal="justify" vertical="center" wrapText="1"/>
      <protection/>
    </xf>
    <xf numFmtId="0" fontId="35" fillId="0" borderId="0" xfId="58" applyFont="1" applyAlignment="1">
      <alignment horizontal="justify" vertical="center" wrapText="1"/>
      <protection/>
    </xf>
    <xf numFmtId="0" fontId="35" fillId="0" borderId="0" xfId="56" applyFont="1" applyAlignment="1">
      <alignment horizontal="justify" vertical="center" wrapText="1"/>
      <protection/>
    </xf>
    <xf numFmtId="0" fontId="35" fillId="46" borderId="0" xfId="56" applyFont="1" applyFill="1" applyAlignment="1">
      <alignment horizontal="justify" vertical="center"/>
      <protection/>
    </xf>
    <xf numFmtId="0" fontId="61" fillId="0" borderId="79" xfId="62" applyFont="1" applyBorder="1" applyAlignment="1">
      <alignment horizontal="center"/>
      <protection/>
    </xf>
    <xf numFmtId="0" fontId="61" fillId="0" borderId="97" xfId="62" applyFont="1" applyBorder="1" applyAlignment="1">
      <alignment horizontal="center"/>
      <protection/>
    </xf>
    <xf numFmtId="0" fontId="61" fillId="0" borderId="80" xfId="62" applyFont="1" applyBorder="1" applyAlignment="1">
      <alignment horizontal="center"/>
      <protection/>
    </xf>
    <xf numFmtId="49" fontId="62" fillId="0" borderId="98" xfId="58" applyNumberFormat="1" applyFont="1" applyBorder="1" applyAlignment="1">
      <alignment horizontal="center"/>
      <protection/>
    </xf>
    <xf numFmtId="49" fontId="62" fillId="0" borderId="99" xfId="58" applyNumberFormat="1" applyFont="1" applyBorder="1" applyAlignment="1">
      <alignment horizontal="center"/>
      <protection/>
    </xf>
    <xf numFmtId="0" fontId="62" fillId="0" borderId="100" xfId="58" applyFont="1" applyBorder="1" applyAlignment="1">
      <alignment horizontal="justify" vertical="center" wrapText="1"/>
      <protection/>
    </xf>
    <xf numFmtId="0" fontId="62" fillId="0" borderId="101" xfId="58" applyFont="1" applyBorder="1" applyAlignment="1">
      <alignment horizontal="justify" vertical="center" wrapText="1"/>
      <protection/>
    </xf>
    <xf numFmtId="0" fontId="62" fillId="0" borderId="85" xfId="58" applyFont="1" applyBorder="1" applyAlignment="1">
      <alignment horizontal="justify" vertical="center" wrapText="1"/>
      <protection/>
    </xf>
    <xf numFmtId="0" fontId="62" fillId="0" borderId="102" xfId="58" applyFont="1" applyBorder="1" applyAlignment="1">
      <alignment horizontal="justify" vertical="center" wrapText="1"/>
      <protection/>
    </xf>
    <xf numFmtId="0" fontId="62" fillId="0" borderId="103" xfId="58" applyFont="1" applyBorder="1" applyAlignment="1">
      <alignment horizontal="justify" vertical="center" wrapText="1"/>
      <protection/>
    </xf>
    <xf numFmtId="0" fontId="62" fillId="0" borderId="104" xfId="58" applyFont="1" applyBorder="1" applyAlignment="1">
      <alignment horizontal="justify" vertical="center" wrapText="1"/>
      <protection/>
    </xf>
    <xf numFmtId="0" fontId="99" fillId="53" borderId="10" xfId="0" applyFont="1" applyFill="1" applyBorder="1" applyAlignment="1">
      <alignment horizontal="center" vertical="center"/>
    </xf>
    <xf numFmtId="0" fontId="99" fillId="5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" fillId="12" borderId="105" xfId="0" applyFont="1" applyFill="1" applyBorder="1" applyAlignment="1">
      <alignment horizontal="center" vertical="center"/>
    </xf>
    <xf numFmtId="0" fontId="1" fillId="12" borderId="106" xfId="0" applyFont="1" applyFill="1" applyBorder="1" applyAlignment="1">
      <alignment horizontal="center" vertical="center"/>
    </xf>
    <xf numFmtId="0" fontId="1" fillId="12" borderId="107" xfId="0" applyFont="1" applyFill="1" applyBorder="1" applyAlignment="1">
      <alignment horizontal="center" vertical="center"/>
    </xf>
    <xf numFmtId="0" fontId="95" fillId="40" borderId="15" xfId="0" applyFont="1" applyFill="1" applyBorder="1" applyAlignment="1">
      <alignment horizontal="center" vertical="center" wrapText="1"/>
    </xf>
    <xf numFmtId="0" fontId="95" fillId="40" borderId="16" xfId="0" applyFont="1" applyFill="1" applyBorder="1" applyAlignment="1">
      <alignment horizontal="center" vertical="center" wrapText="1"/>
    </xf>
    <xf numFmtId="0" fontId="95" fillId="40" borderId="23" xfId="0" applyFont="1" applyFill="1" applyBorder="1" applyAlignment="1">
      <alignment horizontal="center" vertical="center" wrapText="1"/>
    </xf>
    <xf numFmtId="0" fontId="95" fillId="40" borderId="25" xfId="0" applyFont="1" applyFill="1" applyBorder="1" applyAlignment="1">
      <alignment horizontal="center" vertical="center" wrapText="1"/>
    </xf>
    <xf numFmtId="0" fontId="95" fillId="40" borderId="82" xfId="0" applyFont="1" applyFill="1" applyBorder="1" applyAlignment="1">
      <alignment horizontal="center" vertical="center"/>
    </xf>
    <xf numFmtId="0" fontId="95" fillId="40" borderId="108" xfId="0" applyFont="1" applyFill="1" applyBorder="1" applyAlignment="1">
      <alignment horizontal="center" vertical="center"/>
    </xf>
    <xf numFmtId="0" fontId="0" fillId="0" borderId="11" xfId="55" applyFont="1" applyBorder="1" applyAlignment="1" applyProtection="1">
      <alignment horizontal="left"/>
      <protection/>
    </xf>
    <xf numFmtId="0" fontId="0" fillId="0" borderId="13" xfId="55" applyFont="1" applyBorder="1" applyAlignment="1" applyProtection="1">
      <alignment horizontal="left"/>
      <protection/>
    </xf>
    <xf numFmtId="0" fontId="1" fillId="0" borderId="11" xfId="55" applyFont="1" applyBorder="1" applyAlignment="1" applyProtection="1">
      <alignment horizontal="center"/>
      <protection/>
    </xf>
    <xf numFmtId="0" fontId="1" fillId="0" borderId="13" xfId="55" applyFont="1" applyBorder="1" applyAlignment="1" applyProtection="1">
      <alignment horizontal="center"/>
      <protection/>
    </xf>
    <xf numFmtId="0" fontId="1" fillId="18" borderId="10" xfId="55" applyFont="1" applyFill="1" applyBorder="1" applyAlignment="1" applyProtection="1">
      <alignment horizontal="center"/>
      <protection/>
    </xf>
    <xf numFmtId="0" fontId="0" fillId="0" borderId="11" xfId="55" applyBorder="1" applyAlignment="1" applyProtection="1">
      <alignment horizontal="center"/>
      <protection/>
    </xf>
    <xf numFmtId="0" fontId="0" fillId="0" borderId="14" xfId="55" applyBorder="1" applyAlignment="1" applyProtection="1">
      <alignment horizontal="center"/>
      <protection/>
    </xf>
    <xf numFmtId="0" fontId="0" fillId="0" borderId="13" xfId="55" applyBorder="1" applyAlignment="1" applyProtection="1">
      <alignment horizontal="center"/>
      <protection/>
    </xf>
    <xf numFmtId="0" fontId="1" fillId="0" borderId="14" xfId="55" applyFont="1" applyBorder="1" applyAlignment="1" applyProtection="1">
      <alignment horizontal="center"/>
      <protection/>
    </xf>
    <xf numFmtId="0" fontId="0" fillId="46" borderId="11" xfId="55" applyFill="1" applyBorder="1" applyAlignment="1" applyProtection="1">
      <alignment horizontal="left"/>
      <protection/>
    </xf>
    <xf numFmtId="0" fontId="0" fillId="46" borderId="13" xfId="55" applyFill="1" applyBorder="1" applyAlignment="1" applyProtection="1">
      <alignment horizontal="left"/>
      <protection/>
    </xf>
    <xf numFmtId="0" fontId="0" fillId="0" borderId="10" xfId="55" applyFont="1" applyBorder="1" applyAlignment="1" applyProtection="1">
      <alignment horizontal="center"/>
      <protection/>
    </xf>
    <xf numFmtId="0" fontId="6" fillId="0" borderId="0" xfId="55" applyFont="1" applyAlignment="1" applyProtection="1">
      <alignment horizontal="center"/>
      <protection/>
    </xf>
    <xf numFmtId="0" fontId="0" fillId="0" borderId="11" xfId="55" applyFont="1" applyBorder="1" applyAlignment="1" applyProtection="1">
      <alignment horizontal="center"/>
      <protection/>
    </xf>
    <xf numFmtId="0" fontId="0" fillId="0" borderId="13" xfId="55" applyFont="1" applyBorder="1" applyAlignment="1" applyProtection="1">
      <alignment horizontal="center"/>
      <protection/>
    </xf>
    <xf numFmtId="0" fontId="0" fillId="52" borderId="10" xfId="55" applyFont="1" applyFill="1" applyBorder="1" applyAlignment="1" applyProtection="1">
      <alignment horizontal="center" vertical="center" wrapText="1"/>
      <protection/>
    </xf>
    <xf numFmtId="0" fontId="0" fillId="52" borderId="10" xfId="55" applyFill="1" applyBorder="1" applyAlignment="1" applyProtection="1">
      <alignment horizontal="center" vertical="center" wrapText="1"/>
      <protection/>
    </xf>
    <xf numFmtId="0" fontId="1" fillId="0" borderId="10" xfId="55" applyFont="1" applyBorder="1" applyAlignment="1" applyProtection="1">
      <alignment horizontal="center" vertical="center"/>
      <protection/>
    </xf>
    <xf numFmtId="0" fontId="0" fillId="52" borderId="11" xfId="55" applyFill="1" applyBorder="1" applyAlignment="1" applyProtection="1">
      <alignment horizontal="center" vertical="center" wrapText="1"/>
      <protection/>
    </xf>
    <xf numFmtId="0" fontId="0" fillId="52" borderId="13" xfId="55" applyFill="1" applyBorder="1" applyAlignment="1" applyProtection="1">
      <alignment horizontal="center" vertical="center" wrapText="1"/>
      <protection/>
    </xf>
    <xf numFmtId="0" fontId="0" fillId="0" borderId="21" xfId="55" applyFont="1" applyBorder="1" applyAlignment="1" applyProtection="1">
      <alignment horizontal="center"/>
      <protection/>
    </xf>
    <xf numFmtId="0" fontId="0" fillId="0" borderId="52" xfId="55" applyFont="1" applyBorder="1" applyAlignment="1" applyProtection="1">
      <alignment horizontal="center"/>
      <protection/>
    </xf>
    <xf numFmtId="175" fontId="0" fillId="48" borderId="10" xfId="55" applyNumberFormat="1" applyFill="1" applyBorder="1" applyAlignment="1" applyProtection="1">
      <alignment horizontal="center"/>
      <protection locked="0"/>
    </xf>
    <xf numFmtId="175" fontId="1" fillId="46" borderId="10" xfId="0" applyNumberFormat="1" applyFont="1" applyFill="1" applyBorder="1" applyAlignment="1" applyProtection="1">
      <alignment horizontal="center" vertical="center"/>
      <protection/>
    </xf>
    <xf numFmtId="175" fontId="0" fillId="46" borderId="10" xfId="0" applyNumberFormat="1" applyFill="1" applyBorder="1" applyAlignment="1" applyProtection="1">
      <alignment horizontal="center" vertical="center"/>
      <protection/>
    </xf>
    <xf numFmtId="177" fontId="0" fillId="48" borderId="10" xfId="0" applyNumberFormat="1" applyFill="1" applyBorder="1" applyAlignment="1" applyProtection="1">
      <alignment horizontal="center" vertical="center"/>
      <protection locked="0"/>
    </xf>
    <xf numFmtId="175" fontId="0" fillId="46" borderId="26" xfId="0" applyNumberFormat="1" applyFill="1" applyBorder="1" applyAlignment="1" applyProtection="1">
      <alignment horizontal="center" vertical="center"/>
      <protection/>
    </xf>
    <xf numFmtId="175" fontId="0" fillId="46" borderId="109" xfId="0" applyNumberFormat="1" applyFill="1" applyBorder="1" applyAlignment="1" applyProtection="1">
      <alignment horizontal="center" vertical="center"/>
      <protection/>
    </xf>
    <xf numFmtId="175" fontId="0" fillId="46" borderId="35" xfId="0" applyNumberFormat="1" applyFill="1" applyBorder="1" applyAlignment="1" applyProtection="1">
      <alignment horizontal="center" vertical="center"/>
      <protection/>
    </xf>
    <xf numFmtId="0" fontId="1" fillId="46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46" borderId="10" xfId="0" applyFont="1" applyFill="1" applyBorder="1" applyAlignment="1" applyProtection="1">
      <alignment horizontal="left" vertical="center" wrapText="1"/>
      <protection/>
    </xf>
    <xf numFmtId="0" fontId="0" fillId="46" borderId="10" xfId="0" applyFont="1" applyFill="1" applyBorder="1" applyAlignment="1" applyProtection="1">
      <alignment horizontal="left" vertical="center" wrapText="1"/>
      <protection/>
    </xf>
    <xf numFmtId="178" fontId="0" fillId="48" borderId="26" xfId="0" applyNumberFormat="1" applyFont="1" applyFill="1" applyBorder="1" applyAlignment="1" applyProtection="1">
      <alignment horizontal="center" vertical="center"/>
      <protection locked="0"/>
    </xf>
    <xf numFmtId="178" fontId="0" fillId="48" borderId="109" xfId="0" applyNumberFormat="1" applyFont="1" applyFill="1" applyBorder="1" applyAlignment="1" applyProtection="1">
      <alignment horizontal="center" vertical="center"/>
      <protection locked="0"/>
    </xf>
    <xf numFmtId="178" fontId="0" fillId="48" borderId="35" xfId="0" applyNumberFormat="1" applyFont="1" applyFill="1" applyBorder="1" applyAlignment="1" applyProtection="1">
      <alignment horizontal="center" vertical="center"/>
      <protection locked="0"/>
    </xf>
    <xf numFmtId="175" fontId="0" fillId="48" borderId="10" xfId="0" applyNumberFormat="1" applyFill="1" applyBorder="1" applyAlignment="1" applyProtection="1">
      <alignment horizontal="center" vertical="center" wrapText="1"/>
      <protection locked="0"/>
    </xf>
    <xf numFmtId="168" fontId="0" fillId="46" borderId="10" xfId="46" applyFont="1" applyFill="1" applyBorder="1" applyAlignment="1" applyProtection="1">
      <alignment horizontal="center" vertical="center" wrapText="1"/>
      <protection/>
    </xf>
    <xf numFmtId="168" fontId="0" fillId="0" borderId="26" xfId="46" applyFont="1" applyBorder="1" applyAlignment="1" applyProtection="1">
      <alignment horizontal="center" vertical="center" wrapText="1"/>
      <protection/>
    </xf>
    <xf numFmtId="168" fontId="0" fillId="0" borderId="109" xfId="46" applyFont="1" applyBorder="1" applyAlignment="1" applyProtection="1">
      <alignment horizontal="center" vertical="center" wrapText="1"/>
      <protection/>
    </xf>
    <xf numFmtId="168" fontId="0" fillId="0" borderId="35" xfId="46" applyFont="1" applyBorder="1" applyAlignment="1" applyProtection="1">
      <alignment horizontal="center" vertical="center" wrapText="1"/>
      <protection/>
    </xf>
    <xf numFmtId="0" fontId="0" fillId="46" borderId="26" xfId="0" applyFont="1" applyFill="1" applyBorder="1" applyAlignment="1" applyProtection="1">
      <alignment horizontal="left" vertical="center" wrapText="1"/>
      <protection/>
    </xf>
    <xf numFmtId="0" fontId="0" fillId="46" borderId="109" xfId="0" applyFont="1" applyFill="1" applyBorder="1" applyAlignment="1" applyProtection="1">
      <alignment horizontal="left" vertical="center" wrapText="1"/>
      <protection/>
    </xf>
    <xf numFmtId="0" fontId="0" fillId="46" borderId="35" xfId="0" applyFont="1" applyFill="1" applyBorder="1" applyAlignment="1" applyProtection="1">
      <alignment horizontal="left" vertical="center" wrapText="1"/>
      <protection/>
    </xf>
    <xf numFmtId="0" fontId="1" fillId="19" borderId="14" xfId="0" applyFont="1" applyFill="1" applyBorder="1" applyAlignment="1" applyProtection="1">
      <alignment horizontal="center" vertical="center"/>
      <protection/>
    </xf>
    <xf numFmtId="0" fontId="1" fillId="19" borderId="13" xfId="0" applyFont="1" applyFill="1" applyBorder="1" applyAlignment="1" applyProtection="1">
      <alignment horizontal="center" vertical="center"/>
      <protection/>
    </xf>
    <xf numFmtId="0" fontId="1" fillId="51" borderId="11" xfId="0" applyFont="1" applyFill="1" applyBorder="1" applyAlignment="1" applyProtection="1">
      <alignment horizontal="center" vertical="center" wrapText="1"/>
      <protection/>
    </xf>
    <xf numFmtId="0" fontId="1" fillId="51" borderId="14" xfId="0" applyFont="1" applyFill="1" applyBorder="1" applyAlignment="1" applyProtection="1">
      <alignment horizontal="center" vertical="center" wrapText="1"/>
      <protection/>
    </xf>
    <xf numFmtId="0" fontId="1" fillId="51" borderId="13" xfId="0" applyFont="1" applyFill="1" applyBorder="1" applyAlignment="1" applyProtection="1">
      <alignment horizontal="center" vertical="center" wrapText="1"/>
      <protection/>
    </xf>
    <xf numFmtId="168" fontId="0" fillId="0" borderId="26" xfId="46" applyNumberFormat="1" applyFont="1" applyBorder="1" applyAlignment="1" applyProtection="1">
      <alignment horizontal="center" vertical="center" wrapText="1"/>
      <protection/>
    </xf>
    <xf numFmtId="168" fontId="0" fillId="0" borderId="109" xfId="46" applyNumberFormat="1" applyFont="1" applyBorder="1" applyAlignment="1" applyProtection="1">
      <alignment horizontal="center" vertical="center" wrapText="1"/>
      <protection/>
    </xf>
    <xf numFmtId="168" fontId="0" fillId="0" borderId="35" xfId="46" applyNumberFormat="1" applyFont="1" applyBorder="1" applyAlignment="1" applyProtection="1">
      <alignment horizontal="center" vertical="center" wrapText="1"/>
      <protection/>
    </xf>
    <xf numFmtId="177" fontId="0" fillId="48" borderId="26" xfId="0" applyNumberFormat="1" applyFill="1" applyBorder="1" applyAlignment="1" applyProtection="1">
      <alignment horizontal="center" vertical="center"/>
      <protection locked="0"/>
    </xf>
    <xf numFmtId="177" fontId="0" fillId="48" borderId="109" xfId="0" applyNumberFormat="1" applyFill="1" applyBorder="1" applyAlignment="1" applyProtection="1">
      <alignment horizontal="center" vertical="center"/>
      <protection locked="0"/>
    </xf>
    <xf numFmtId="177" fontId="0" fillId="48" borderId="35" xfId="0" applyNumberFormat="1" applyFill="1" applyBorder="1" applyAlignment="1" applyProtection="1">
      <alignment horizontal="center" vertical="center"/>
      <protection locked="0"/>
    </xf>
    <xf numFmtId="178" fontId="0" fillId="48" borderId="26" xfId="0" applyNumberFormat="1" applyFill="1" applyBorder="1" applyAlignment="1" applyProtection="1">
      <alignment horizontal="center" vertical="center" wrapText="1"/>
      <protection locked="0"/>
    </xf>
    <xf numFmtId="178" fontId="0" fillId="48" borderId="109" xfId="0" applyNumberFormat="1" applyFill="1" applyBorder="1" applyAlignment="1" applyProtection="1">
      <alignment horizontal="center" vertical="center" wrapText="1"/>
      <protection locked="0"/>
    </xf>
    <xf numFmtId="178" fontId="0" fillId="48" borderId="35" xfId="0" applyNumberFormat="1" applyFill="1" applyBorder="1" applyAlignment="1" applyProtection="1">
      <alignment horizontal="center" vertical="center" wrapText="1"/>
      <protection locked="0"/>
    </xf>
    <xf numFmtId="178" fontId="0" fillId="48" borderId="10" xfId="0" applyNumberFormat="1" applyFill="1" applyBorder="1" applyAlignment="1" applyProtection="1">
      <alignment horizontal="center" vertical="center" wrapText="1"/>
      <protection locked="0"/>
    </xf>
    <xf numFmtId="0" fontId="0" fillId="46" borderId="0" xfId="0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0" fillId="46" borderId="0" xfId="0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8" fontId="0" fillId="46" borderId="0" xfId="0" applyNumberFormat="1" applyFill="1" applyBorder="1" applyAlignment="1" applyProtection="1">
      <alignment horizontal="center" vertical="center"/>
      <protection/>
    </xf>
    <xf numFmtId="168" fontId="0" fillId="0" borderId="10" xfId="46" applyFont="1" applyBorder="1" applyAlignment="1" applyProtection="1">
      <alignment horizontal="center" vertical="center" wrapText="1"/>
      <protection/>
    </xf>
    <xf numFmtId="2" fontId="13" fillId="0" borderId="12" xfId="0" applyNumberFormat="1" applyFont="1" applyBorder="1" applyAlignment="1" applyProtection="1">
      <alignment horizontal="center" vertical="center"/>
      <protection/>
    </xf>
    <xf numFmtId="10" fontId="0" fillId="46" borderId="0" xfId="65" applyNumberFormat="1" applyFont="1" applyFill="1" applyBorder="1" applyAlignment="1" applyProtection="1">
      <alignment horizontal="center" vertical="center" wrapText="1"/>
      <protection/>
    </xf>
    <xf numFmtId="0" fontId="35" fillId="46" borderId="0" xfId="0" applyFont="1" applyFill="1" applyBorder="1" applyAlignment="1" applyProtection="1">
      <alignment horizontal="center" vertical="center"/>
      <protection/>
    </xf>
    <xf numFmtId="0" fontId="0" fillId="46" borderId="10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9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178" fontId="0" fillId="48" borderId="26" xfId="0" applyNumberFormat="1" applyFont="1" applyFill="1" applyBorder="1" applyAlignment="1" applyProtection="1">
      <alignment horizontal="center" vertical="center" wrapText="1"/>
      <protection locked="0"/>
    </xf>
    <xf numFmtId="178" fontId="0" fillId="48" borderId="109" xfId="0" applyNumberFormat="1" applyFont="1" applyFill="1" applyBorder="1" applyAlignment="1" applyProtection="1">
      <alignment horizontal="center" vertical="center" wrapText="1"/>
      <protection locked="0"/>
    </xf>
    <xf numFmtId="178" fontId="0" fillId="48" borderId="3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09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178" fontId="0" fillId="48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46" borderId="0" xfId="0" applyFont="1" applyFill="1" applyBorder="1" applyAlignment="1" applyProtection="1">
      <alignment horizontal="center" vertical="center" wrapText="1"/>
      <protection/>
    </xf>
    <xf numFmtId="168" fontId="1" fillId="46" borderId="11" xfId="46" applyFont="1" applyFill="1" applyBorder="1" applyAlignment="1" applyProtection="1">
      <alignment horizontal="center" vertical="center" wrapText="1"/>
      <protection/>
    </xf>
    <xf numFmtId="168" fontId="1" fillId="46" borderId="13" xfId="46" applyFont="1" applyFill="1" applyBorder="1" applyAlignment="1" applyProtection="1">
      <alignment horizontal="center" vertical="center" wrapText="1"/>
      <protection/>
    </xf>
    <xf numFmtId="0" fontId="1" fillId="8" borderId="11" xfId="0" applyFont="1" applyFill="1" applyBorder="1" applyAlignment="1" applyProtection="1">
      <alignment horizontal="center" vertical="center"/>
      <protection/>
    </xf>
    <xf numFmtId="0" fontId="1" fillId="8" borderId="14" xfId="0" applyFont="1" applyFill="1" applyBorder="1" applyAlignment="1" applyProtection="1">
      <alignment horizontal="center" vertical="center"/>
      <protection/>
    </xf>
    <xf numFmtId="0" fontId="1" fillId="0" borderId="79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7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2 2" xfId="49"/>
    <cellStyle name="Moeda 3" xfId="50"/>
    <cellStyle name="Moeda 3 2" xfId="51"/>
    <cellStyle name="Moeda 4" xfId="52"/>
    <cellStyle name="Moeda 4 2" xfId="53"/>
    <cellStyle name="Neutro" xfId="54"/>
    <cellStyle name="Normal 2" xfId="55"/>
    <cellStyle name="Normal 2 2" xfId="56"/>
    <cellStyle name="Normal 3" xfId="57"/>
    <cellStyle name="Normal 3 2" xfId="58"/>
    <cellStyle name="Normal 4" xfId="59"/>
    <cellStyle name="Normal_065-003-T-JUT-001-04" xfId="60"/>
    <cellStyle name="Normal_Aldeias 2etapa" xfId="61"/>
    <cellStyle name="Normal_ORCAMENTO MORRO DO CHAPEU og REV 1" xfId="62"/>
    <cellStyle name="Normal_Orçamento ramais " xfId="63"/>
    <cellStyle name="Nota" xfId="64"/>
    <cellStyle name="Percent" xfId="65"/>
    <cellStyle name="Porcentagem 2" xfId="66"/>
    <cellStyle name="Porcentagem 2 2" xfId="67"/>
    <cellStyle name="Porcentagem 3" xfId="68"/>
    <cellStyle name="Ruim" xfId="69"/>
    <cellStyle name="Saída" xfId="70"/>
    <cellStyle name="Comma [0]" xfId="71"/>
    <cellStyle name="Separador de milhares 2 5 2 2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Vírgula 2" xfId="82"/>
    <cellStyle name="Vírgula 2 2" xfId="83"/>
    <cellStyle name="Vírgula 2 2 2" xfId="84"/>
    <cellStyle name="Vírgula 2 3" xfId="85"/>
    <cellStyle name="Vírgula 3" xfId="86"/>
    <cellStyle name="Vírgula 3 2" xfId="87"/>
    <cellStyle name="Vírgula 4" xfId="88"/>
    <cellStyle name="Vírgula 4 2" xfId="89"/>
  </cellStyles>
  <dxfs count="4"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1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Orienta&#231;&#245;es!A1" /><Relationship Id="rId2" Type="http://schemas.openxmlformats.org/officeDocument/2006/relationships/hyperlink" Target="#'EPIs-EPCs'!A1" /><Relationship Id="rId3" Type="http://schemas.openxmlformats.org/officeDocument/2006/relationships/hyperlink" Target="#'BDI SERVI&#199;OS'!A1" /><Relationship Id="rId4" Type="http://schemas.openxmlformats.org/officeDocument/2006/relationships/hyperlink" Target="#'BDI MATERIAIS'!A1" /><Relationship Id="rId5" Type="http://schemas.openxmlformats.org/officeDocument/2006/relationships/hyperlink" Target="#'Custo da M&#227;o de Obra '!A1" /><Relationship Id="rId6" Type="http://schemas.openxmlformats.org/officeDocument/2006/relationships/hyperlink" Target="#'Tab Composi&#231;&#227;o Itens Unit&#225;rios'!A1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Menu!A1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1" name="Picture 2" descr="LogoChes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 flipH="1" flipV="1">
          <a:off x="85725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88</xdr:row>
      <xdr:rowOff>66675</xdr:rowOff>
    </xdr:from>
    <xdr:to>
      <xdr:col>1</xdr:col>
      <xdr:colOff>457200</xdr:colOff>
      <xdr:row>88</xdr:row>
      <xdr:rowOff>142875</xdr:rowOff>
    </xdr:to>
    <xdr:sp macro="[0]!ExibeAutor.MAIN">
      <xdr:nvSpPr>
        <xdr:cNvPr id="2" name="AutoShape 24"/>
        <xdr:cNvSpPr>
          <a:spLocks/>
        </xdr:cNvSpPr>
      </xdr:nvSpPr>
      <xdr:spPr>
        <a:xfrm>
          <a:off x="428625" y="13954125"/>
          <a:ext cx="85725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238125</xdr:colOff>
      <xdr:row>1</xdr:row>
      <xdr:rowOff>733425</xdr:rowOff>
    </xdr:to>
    <xdr:pic>
      <xdr:nvPicPr>
        <xdr:cNvPr id="1" name="Picture 2" descr="In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8288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9525</xdr:colOff>
      <xdr:row>1</xdr:row>
      <xdr:rowOff>171450</xdr:rowOff>
    </xdr:from>
    <xdr:to>
      <xdr:col>12</xdr:col>
      <xdr:colOff>771525</xdr:colOff>
      <xdr:row>1</xdr:row>
      <xdr:rowOff>600075</xdr:rowOff>
    </xdr:to>
    <xdr:sp>
      <xdr:nvSpPr>
        <xdr:cNvPr id="2" name="Seta: para a Esquerda 3">
          <a:hlinkClick r:id="rId2"/>
        </xdr:cNvPr>
        <xdr:cNvSpPr>
          <a:spLocks/>
        </xdr:cNvSpPr>
      </xdr:nvSpPr>
      <xdr:spPr>
        <a:xfrm>
          <a:off x="12125325" y="333375"/>
          <a:ext cx="762000" cy="428625"/>
        </a:xfrm>
        <a:prstGeom prst="leftArrow">
          <a:avLst>
            <a:gd name="adj" fmla="val -21875"/>
          </a:avLst>
        </a:prstGeom>
        <a:solidFill>
          <a:srgbClr val="703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00"/>
              </a:solidFill>
            </a:rPr>
            <a:t>VOLTAR</a:t>
          </a:r>
        </a:p>
      </xdr:txBody>
    </xdr:sp>
    <xdr:clientData/>
  </xdr:twoCellAnchor>
  <xdr:twoCellAnchor editAs="oneCell">
    <xdr:from>
      <xdr:col>4</xdr:col>
      <xdr:colOff>200025</xdr:colOff>
      <xdr:row>1</xdr:row>
      <xdr:rowOff>9525</xdr:rowOff>
    </xdr:from>
    <xdr:to>
      <xdr:col>4</xdr:col>
      <xdr:colOff>695325</xdr:colOff>
      <xdr:row>1</xdr:row>
      <xdr:rowOff>752475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171450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866775</xdr:colOff>
      <xdr:row>1</xdr:row>
      <xdr:rowOff>104775</xdr:rowOff>
    </xdr:from>
    <xdr:to>
      <xdr:col>8</xdr:col>
      <xdr:colOff>942975</xdr:colOff>
      <xdr:row>1</xdr:row>
      <xdr:rowOff>714375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266700"/>
          <a:ext cx="962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1771650</xdr:colOff>
      <xdr:row>2</xdr:row>
      <xdr:rowOff>161925</xdr:rowOff>
    </xdr:to>
    <xdr:pic>
      <xdr:nvPicPr>
        <xdr:cNvPr id="1" name="Picture 2" descr="In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2002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28575</xdr:colOff>
      <xdr:row>1</xdr:row>
      <xdr:rowOff>9525</xdr:rowOff>
    </xdr:from>
    <xdr:to>
      <xdr:col>8</xdr:col>
      <xdr:colOff>1009650</xdr:colOff>
      <xdr:row>1</xdr:row>
      <xdr:rowOff>628650</xdr:rowOff>
    </xdr:to>
    <xdr:sp>
      <xdr:nvSpPr>
        <xdr:cNvPr id="2" name="Seta: para a Esquerda 2">
          <a:hlinkClick r:id="rId2"/>
        </xdr:cNvPr>
        <xdr:cNvSpPr>
          <a:spLocks/>
        </xdr:cNvSpPr>
      </xdr:nvSpPr>
      <xdr:spPr>
        <a:xfrm>
          <a:off x="10744200" y="171450"/>
          <a:ext cx="981075" cy="619125"/>
        </a:xfrm>
        <a:prstGeom prst="leftArrow">
          <a:avLst>
            <a:gd name="adj" fmla="val -18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VOLTAR</a:t>
          </a:r>
        </a:p>
      </xdr:txBody>
    </xdr:sp>
    <xdr:clientData/>
  </xdr:twoCellAnchor>
  <xdr:twoCellAnchor editAs="oneCell">
    <xdr:from>
      <xdr:col>5</xdr:col>
      <xdr:colOff>247650</xdr:colOff>
      <xdr:row>1</xdr:row>
      <xdr:rowOff>47625</xdr:rowOff>
    </xdr:from>
    <xdr:to>
      <xdr:col>5</xdr:col>
      <xdr:colOff>847725</xdr:colOff>
      <xdr:row>2</xdr:row>
      <xdr:rowOff>228600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209550"/>
          <a:ext cx="600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3086100</xdr:colOff>
      <xdr:row>1</xdr:row>
      <xdr:rowOff>47625</xdr:rowOff>
    </xdr:from>
    <xdr:to>
      <xdr:col>3</xdr:col>
      <xdr:colOff>742950</xdr:colOff>
      <xdr:row>2</xdr:row>
      <xdr:rowOff>123825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209550"/>
          <a:ext cx="1285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7</xdr:row>
      <xdr:rowOff>152400</xdr:rowOff>
    </xdr:from>
    <xdr:to>
      <xdr:col>19</xdr:col>
      <xdr:colOff>114300</xdr:colOff>
      <xdr:row>37</xdr:row>
      <xdr:rowOff>133350</xdr:rowOff>
    </xdr:to>
    <xdr:grpSp>
      <xdr:nvGrpSpPr>
        <xdr:cNvPr id="1" name="Agrupar 1"/>
        <xdr:cNvGrpSpPr>
          <a:grpSpLocks/>
        </xdr:cNvGrpSpPr>
      </xdr:nvGrpSpPr>
      <xdr:grpSpPr>
        <a:xfrm>
          <a:off x="4572000" y="1285875"/>
          <a:ext cx="7124700" cy="4838700"/>
          <a:chOff x="1009650" y="180974"/>
          <a:chExt cx="7124700" cy="4352925"/>
        </a:xfrm>
        <a:solidFill>
          <a:srgbClr val="FFFFFF"/>
        </a:solidFill>
      </xdr:grpSpPr>
      <xdr:sp>
        <xdr:nvSpPr>
          <xdr:cNvPr id="2" name="Retângulo: Cantos Arredondados 11"/>
          <xdr:cNvSpPr>
            <a:spLocks/>
          </xdr:cNvSpPr>
        </xdr:nvSpPr>
        <xdr:spPr>
          <a:xfrm>
            <a:off x="1009650" y="180974"/>
            <a:ext cx="7124700" cy="435292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tângulo: Cantos Arredondados 3">
            <a:hlinkClick r:id="rId1"/>
          </xdr:cNvPr>
          <xdr:cNvSpPr>
            <a:spLocks/>
          </xdr:cNvSpPr>
        </xdr:nvSpPr>
        <xdr:spPr>
          <a:xfrm>
            <a:off x="1314231" y="1371499"/>
            <a:ext cx="1305601" cy="548469"/>
          </a:xfrm>
          <a:prstGeom prst="round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ORIENTAÇÕES</a:t>
            </a:r>
          </a:p>
        </xdr:txBody>
      </xdr:sp>
      <xdr:sp>
        <xdr:nvSpPr>
          <xdr:cNvPr id="4" name="Retângulo: Cantos Arredondados 4">
            <a:hlinkClick r:id="rId2"/>
          </xdr:cNvPr>
          <xdr:cNvSpPr>
            <a:spLocks/>
          </xdr:cNvSpPr>
        </xdr:nvSpPr>
        <xdr:spPr>
          <a:xfrm>
            <a:off x="2867416" y="1371499"/>
            <a:ext cx="1323413" cy="574586"/>
          </a:xfrm>
          <a:prstGeom prst="roundRect">
            <a:avLst/>
          </a:prstGeom>
          <a:solidFill>
            <a:srgbClr val="7030A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</a:rPr>
              <a:t>EPIs</a:t>
            </a:r>
            <a:r>
              <a:rPr lang="en-US" cap="none" sz="1100" b="1" i="0" u="none" baseline="0">
                <a:solidFill>
                  <a:srgbClr val="FFFF00"/>
                </a:solidFill>
              </a:rPr>
              <a:t> e EPCs</a:t>
            </a:r>
          </a:p>
        </xdr:txBody>
      </xdr:sp>
      <xdr:sp>
        <xdr:nvSpPr>
          <xdr:cNvPr id="5" name="Retângulo: Cantos Arredondados 5">
            <a:hlinkClick r:id="rId3"/>
          </xdr:cNvPr>
          <xdr:cNvSpPr>
            <a:spLocks/>
          </xdr:cNvSpPr>
        </xdr:nvSpPr>
        <xdr:spPr>
          <a:xfrm>
            <a:off x="4477598" y="1371499"/>
            <a:ext cx="1305601" cy="548469"/>
          </a:xfrm>
          <a:prstGeom prst="round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BDI SERVIÇOS</a:t>
            </a:r>
          </a:p>
        </xdr:txBody>
      </xdr:sp>
      <xdr:sp>
        <xdr:nvSpPr>
          <xdr:cNvPr id="6" name="Retângulo: Cantos Arredondados 6">
            <a:hlinkClick r:id="rId4"/>
          </xdr:cNvPr>
          <xdr:cNvSpPr>
            <a:spLocks/>
          </xdr:cNvSpPr>
        </xdr:nvSpPr>
        <xdr:spPr>
          <a:xfrm>
            <a:off x="4458005" y="2169172"/>
            <a:ext cx="1323413" cy="574586"/>
          </a:xfrm>
          <a:prstGeom prst="roundRect">
            <a:avLst/>
          </a:prstGeom>
          <a:solidFill>
            <a:srgbClr val="7030A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</a:rPr>
              <a:t>BDI</a:t>
            </a:r>
            <a:r>
              <a:rPr lang="en-US" cap="none" sz="1100" b="0" i="0" u="none" baseline="0">
                <a:solidFill>
                  <a:srgbClr val="FFFF00"/>
                </a:solidFill>
              </a:rPr>
              <a:t> </a:t>
            </a:r>
            <a:r>
              <a:rPr lang="en-US" cap="none" sz="1100" b="1" i="0" u="none" baseline="0">
                <a:solidFill>
                  <a:srgbClr val="FFFF00"/>
                </a:solidFill>
              </a:rPr>
              <a:t>MATERIAIS</a:t>
            </a:r>
          </a:p>
        </xdr:txBody>
      </xdr:sp>
      <xdr:sp>
        <xdr:nvSpPr>
          <xdr:cNvPr id="7" name="Retângulo: Cantos Arredondados 7">
            <a:hlinkClick r:id="rId5"/>
          </xdr:cNvPr>
          <xdr:cNvSpPr>
            <a:spLocks/>
          </xdr:cNvSpPr>
        </xdr:nvSpPr>
        <xdr:spPr>
          <a:xfrm>
            <a:off x="6048594" y="1371499"/>
            <a:ext cx="1305601" cy="548469"/>
          </a:xfrm>
          <a:prstGeom prst="roundRect">
            <a:avLst/>
          </a:prstGeom>
          <a:solidFill>
            <a:srgbClr val="7030A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</a:rPr>
              <a:t>CUSTO DE MÃO DE OBRA</a:t>
            </a:r>
          </a:p>
        </xdr:txBody>
      </xdr:sp>
      <xdr:sp>
        <xdr:nvSpPr>
          <xdr:cNvPr id="8" name="Retângulo: Cantos Arredondados 8">
            <a:hlinkClick r:id="rId6"/>
          </xdr:cNvPr>
          <xdr:cNvSpPr>
            <a:spLocks/>
          </xdr:cNvSpPr>
        </xdr:nvSpPr>
        <xdr:spPr>
          <a:xfrm>
            <a:off x="6048594" y="2169172"/>
            <a:ext cx="1323413" cy="780262"/>
          </a:xfrm>
          <a:prstGeom prst="round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TABELA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DE COMPOSIÇÃO DE ITENS UNITÁRIOS</a:t>
            </a:r>
          </a:p>
        </xdr:txBody>
      </xdr:sp>
      <xdr:sp>
        <xdr:nvSpPr>
          <xdr:cNvPr id="9" name="Retângulo: Cantos Arredondados 9"/>
          <xdr:cNvSpPr>
            <a:spLocks/>
          </xdr:cNvSpPr>
        </xdr:nvSpPr>
        <xdr:spPr>
          <a:xfrm>
            <a:off x="2190569" y="3317256"/>
            <a:ext cx="4552683" cy="47120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COMPOSIÇÃO DE CUSTO PARA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RETROFIT DE ILUMINAÇÃO PREDIAL</a:t>
            </a:r>
          </a:p>
        </xdr:txBody>
      </xdr:sp>
      <xdr:pic>
        <xdr:nvPicPr>
          <xdr:cNvPr id="10" name="Picture 2" descr="Inedes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752400" y="419297"/>
            <a:ext cx="1829267" cy="7334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11" name="Imagem 1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515262" y="381209"/>
            <a:ext cx="495167" cy="7432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m 1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219327" y="457385"/>
            <a:ext cx="961835" cy="609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57150</xdr:rowOff>
    </xdr:from>
    <xdr:to>
      <xdr:col>7</xdr:col>
      <xdr:colOff>1828800</xdr:colOff>
      <xdr:row>7</xdr:row>
      <xdr:rowOff>142875</xdr:rowOff>
    </xdr:to>
    <xdr:pic>
      <xdr:nvPicPr>
        <xdr:cNvPr id="1" name="Picture 2" descr="In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42925"/>
          <a:ext cx="18288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5029200</xdr:colOff>
      <xdr:row>3</xdr:row>
      <xdr:rowOff>142875</xdr:rowOff>
    </xdr:from>
    <xdr:to>
      <xdr:col>7</xdr:col>
      <xdr:colOff>5791200</xdr:colOff>
      <xdr:row>6</xdr:row>
      <xdr:rowOff>85725</xdr:rowOff>
    </xdr:to>
    <xdr:sp>
      <xdr:nvSpPr>
        <xdr:cNvPr id="2" name="Seta: para a Esquerda 2">
          <a:hlinkClick r:id="rId2"/>
        </xdr:cNvPr>
        <xdr:cNvSpPr>
          <a:spLocks/>
        </xdr:cNvSpPr>
      </xdr:nvSpPr>
      <xdr:spPr>
        <a:xfrm>
          <a:off x="9296400" y="628650"/>
          <a:ext cx="762000" cy="428625"/>
        </a:xfrm>
        <a:prstGeom prst="leftArrow">
          <a:avLst>
            <a:gd name="adj" fmla="val -21875"/>
          </a:avLst>
        </a:prstGeom>
        <a:solidFill>
          <a:srgbClr val="703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00"/>
              </a:solidFill>
            </a:rPr>
            <a:t>VOLTAR</a:t>
          </a:r>
        </a:p>
      </xdr:txBody>
    </xdr:sp>
    <xdr:clientData/>
  </xdr:twoCellAnchor>
  <xdr:twoCellAnchor>
    <xdr:from>
      <xdr:col>7</xdr:col>
      <xdr:colOff>0</xdr:colOff>
      <xdr:row>8</xdr:row>
      <xdr:rowOff>28575</xdr:rowOff>
    </xdr:from>
    <xdr:to>
      <xdr:col>8</xdr:col>
      <xdr:colOff>0</xdr:colOff>
      <xdr:row>42</xdr:row>
      <xdr:rowOff>9525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4267200" y="1323975"/>
          <a:ext cx="5924550" cy="548640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Orientações para preenchimento da planilha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Essa planilha é composta por oito abas,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sendo elas: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contém os links que direcionam para cada aba da planilha;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Orientações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dá as orientações para manuseio da planilha;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EPIs e EPCs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calcula os custos por profissionais demandados para cada serviço. Nela devem ser informados os valores (a partir de pesquisa de mercado) de EPIs e EPCs utilizados pelos profissionais que realizarão o serviço;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BDI SERVIÇOS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calcula as Bonificações e Despesas Indiretas para os serviços especificados. Nela deverá ser informado o tipo de obra e os valores de taxas e tributos que implicam no cálculo do BDI para serviços;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BDI MATERIAIS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calcula as Bonificações e Despesas Indiretas para os materiais especificados. Nela deverão ser informados os valores de taxas e tributos que implicam no cálculo do BDI para materiais;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Custo da Mão de Obra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calcula o custo total que será empregado em mão de obra para realização do serviço. Nela deverão ser informados os encargos do funcionário assalariado, quantidade de horas trabalhadas por dia, acordo coletivo e valor do salário mínimo atual;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 de Composição de Itens Unitários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calcula o valor unitário de equipamentos, materiais e serviços considerando o custo da mão de obra e o BDI serviços e o BDI materiais que serão utilizados para o orçamento. Nela devem ser informados o valores dos equipamentos, materiais e serviços (em Real ou Dólar), tempo dedicado em min/dia para realização dos serviços, quantidade de materiais e/ou equipamentos que serão instalados (quando aplicável), o valor atual do dólar (caso os valores sejam fornecidos em dólar), e as correções monetárias aplicáveis.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Exemplo de Aplicação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aplica a tabela de orçamento a um exemplo de retrofit de sistema de iluminação predial.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Em cada aba da planilha, todas as células cujos valores devem ser fornecidos pelo usuário estão destacadas em AMARELO. As demais células Não devem ter seu valor alterado.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Os materiais utilizados neste serviço DEVERÃO estar de acordo com as especificações do edital.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Os serviços deverão ser orçados incluindo os custos dos equipamentos necessários para sua execução.</a:t>
          </a:r>
        </a:p>
      </xdr:txBody>
    </xdr:sp>
    <xdr:clientData/>
  </xdr:twoCellAnchor>
  <xdr:twoCellAnchor editAs="oneCell">
    <xdr:from>
      <xdr:col>7</xdr:col>
      <xdr:colOff>2828925</xdr:colOff>
      <xdr:row>3</xdr:row>
      <xdr:rowOff>57150</xdr:rowOff>
    </xdr:from>
    <xdr:to>
      <xdr:col>7</xdr:col>
      <xdr:colOff>3324225</xdr:colOff>
      <xdr:row>7</xdr:row>
      <xdr:rowOff>152400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542925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3800475</xdr:colOff>
      <xdr:row>4</xdr:row>
      <xdr:rowOff>19050</xdr:rowOff>
    </xdr:from>
    <xdr:to>
      <xdr:col>7</xdr:col>
      <xdr:colOff>4762500</xdr:colOff>
      <xdr:row>7</xdr:row>
      <xdr:rowOff>142875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666750"/>
          <a:ext cx="962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4</xdr:row>
      <xdr:rowOff>28575</xdr:rowOff>
    </xdr:from>
    <xdr:to>
      <xdr:col>16</xdr:col>
      <xdr:colOff>209550</xdr:colOff>
      <xdr:row>5</xdr:row>
      <xdr:rowOff>428625</xdr:rowOff>
    </xdr:to>
    <xdr:sp>
      <xdr:nvSpPr>
        <xdr:cNvPr id="1" name="Retângulo de cantos arredondados 4"/>
        <xdr:cNvSpPr>
          <a:spLocks/>
        </xdr:cNvSpPr>
      </xdr:nvSpPr>
      <xdr:spPr>
        <a:xfrm>
          <a:off x="7048500" y="1352550"/>
          <a:ext cx="5981700" cy="723900"/>
        </a:xfrm>
        <a:prstGeom prst="roundRect">
          <a:avLst/>
        </a:prstGeom>
        <a:solidFill>
          <a:srgbClr val="BF90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Custos Por</a:t>
          </a:r>
          <a:r>
            <a:rPr lang="en-US" cap="none" sz="2400" b="1" i="0" u="none" baseline="0">
              <a:solidFill>
                <a:srgbClr val="FFFFFF"/>
              </a:solidFill>
            </a:rPr>
            <a:t> Colaborador </a:t>
          </a:r>
        </a:p>
      </xdr:txBody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1409700</xdr:colOff>
      <xdr:row>2</xdr:row>
      <xdr:rowOff>733425</xdr:rowOff>
    </xdr:to>
    <xdr:pic>
      <xdr:nvPicPr>
        <xdr:cNvPr id="2" name="Picture 2" descr="In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23850"/>
          <a:ext cx="18192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</xdr:col>
      <xdr:colOff>428625</xdr:colOff>
      <xdr:row>2</xdr:row>
      <xdr:rowOff>238125</xdr:rowOff>
    </xdr:from>
    <xdr:to>
      <xdr:col>16</xdr:col>
      <xdr:colOff>9525</xdr:colOff>
      <xdr:row>2</xdr:row>
      <xdr:rowOff>666750</xdr:rowOff>
    </xdr:to>
    <xdr:sp>
      <xdr:nvSpPr>
        <xdr:cNvPr id="3" name="Seta: para a Esquerda 3">
          <a:hlinkClick r:id="rId2"/>
        </xdr:cNvPr>
        <xdr:cNvSpPr>
          <a:spLocks/>
        </xdr:cNvSpPr>
      </xdr:nvSpPr>
      <xdr:spPr>
        <a:xfrm>
          <a:off x="12077700" y="561975"/>
          <a:ext cx="752475" cy="428625"/>
        </a:xfrm>
        <a:prstGeom prst="leftArrow">
          <a:avLst>
            <a:gd name="adj" fmla="val -2187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VOLTAR</a:t>
          </a:r>
        </a:p>
      </xdr:txBody>
    </xdr:sp>
    <xdr:clientData/>
  </xdr:twoCellAnchor>
  <xdr:twoCellAnchor editAs="oneCell">
    <xdr:from>
      <xdr:col>12</xdr:col>
      <xdr:colOff>142875</xdr:colOff>
      <xdr:row>2</xdr:row>
      <xdr:rowOff>57150</xdr:rowOff>
    </xdr:from>
    <xdr:to>
      <xdr:col>13</xdr:col>
      <xdr:colOff>247650</xdr:colOff>
      <xdr:row>2</xdr:row>
      <xdr:rowOff>790575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381000"/>
          <a:ext cx="495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200025</xdr:rowOff>
    </xdr:from>
    <xdr:to>
      <xdr:col>15</xdr:col>
      <xdr:colOff>323850</xdr:colOff>
      <xdr:row>2</xdr:row>
      <xdr:rowOff>809625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523875"/>
          <a:ext cx="962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" name="WordArt 1"/>
        <xdr:cNvSpPr>
          <a:spLocks/>
        </xdr:cNvSpPr>
      </xdr:nvSpPr>
      <xdr:spPr>
        <a:xfrm rot="19864414">
          <a:off x="0" y="6629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modelo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819150</xdr:colOff>
      <xdr:row>2</xdr:row>
      <xdr:rowOff>38100</xdr:rowOff>
    </xdr:to>
    <xdr:pic>
      <xdr:nvPicPr>
        <xdr:cNvPr id="2" name="Picture 3" descr="LogoChes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 flipH="1" flipV="1">
          <a:off x="76200" y="8572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123825</xdr:rowOff>
    </xdr:from>
    <xdr:to>
      <xdr:col>1</xdr:col>
      <xdr:colOff>904875</xdr:colOff>
      <xdr:row>2</xdr:row>
      <xdr:rowOff>76200</xdr:rowOff>
    </xdr:to>
    <xdr:pic>
      <xdr:nvPicPr>
        <xdr:cNvPr id="1" name="Picture 1" descr="LogoChes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 flipH="1" flipV="1">
          <a:off x="161925" y="12382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3</xdr:row>
      <xdr:rowOff>190500</xdr:rowOff>
    </xdr:from>
    <xdr:to>
      <xdr:col>13</xdr:col>
      <xdr:colOff>1323975</xdr:colOff>
      <xdr:row>3</xdr:row>
      <xdr:rowOff>619125</xdr:rowOff>
    </xdr:to>
    <xdr:sp>
      <xdr:nvSpPr>
        <xdr:cNvPr id="1" name="Seta: para a Esquerda 2">
          <a:hlinkClick r:id="rId1"/>
        </xdr:cNvPr>
        <xdr:cNvSpPr>
          <a:spLocks/>
        </xdr:cNvSpPr>
      </xdr:nvSpPr>
      <xdr:spPr>
        <a:xfrm>
          <a:off x="12039600" y="704850"/>
          <a:ext cx="762000" cy="428625"/>
        </a:xfrm>
        <a:prstGeom prst="leftArrow">
          <a:avLst>
            <a:gd name="adj" fmla="val -21875"/>
          </a:avLst>
        </a:prstGeom>
        <a:solidFill>
          <a:srgbClr val="703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00"/>
              </a:solidFill>
            </a:rPr>
            <a:t>VOLTAR</a:t>
          </a:r>
        </a:p>
      </xdr:txBody>
    </xdr:sp>
    <xdr:clientData/>
  </xdr:twoCellAnchor>
  <xdr:twoCellAnchor editAs="oneCell">
    <xdr:from>
      <xdr:col>8</xdr:col>
      <xdr:colOff>0</xdr:colOff>
      <xdr:row>3</xdr:row>
      <xdr:rowOff>85725</xdr:rowOff>
    </xdr:from>
    <xdr:to>
      <xdr:col>10</xdr:col>
      <xdr:colOff>1104900</xdr:colOff>
      <xdr:row>3</xdr:row>
      <xdr:rowOff>819150</xdr:rowOff>
    </xdr:to>
    <xdr:pic>
      <xdr:nvPicPr>
        <xdr:cNvPr id="2" name="Picture 2" descr="Ine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600075"/>
          <a:ext cx="18288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895350</xdr:colOff>
      <xdr:row>3</xdr:row>
      <xdr:rowOff>76200</xdr:rowOff>
    </xdr:from>
    <xdr:to>
      <xdr:col>11</xdr:col>
      <xdr:colOff>1390650</xdr:colOff>
      <xdr:row>3</xdr:row>
      <xdr:rowOff>809625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590550"/>
          <a:ext cx="495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</xdr:row>
      <xdr:rowOff>228600</xdr:rowOff>
    </xdr:from>
    <xdr:to>
      <xdr:col>13</xdr:col>
      <xdr:colOff>295275</xdr:colOff>
      <xdr:row>3</xdr:row>
      <xdr:rowOff>828675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10875" y="742950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27</xdr:row>
      <xdr:rowOff>76200</xdr:rowOff>
    </xdr:from>
    <xdr:to>
      <xdr:col>6</xdr:col>
      <xdr:colOff>2057400</xdr:colOff>
      <xdr:row>30</xdr:row>
      <xdr:rowOff>114300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076825"/>
          <a:ext cx="2800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0</xdr:row>
      <xdr:rowOff>0</xdr:rowOff>
    </xdr:from>
    <xdr:to>
      <xdr:col>6</xdr:col>
      <xdr:colOff>1943100</xdr:colOff>
      <xdr:row>3</xdr:row>
      <xdr:rowOff>38100</xdr:rowOff>
    </xdr:to>
    <xdr:pic>
      <xdr:nvPicPr>
        <xdr:cNvPr id="2" name="Imagem 2" descr="Marca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095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47625</xdr:rowOff>
    </xdr:from>
    <xdr:to>
      <xdr:col>7</xdr:col>
      <xdr:colOff>1114425</xdr:colOff>
      <xdr:row>3</xdr:row>
      <xdr:rowOff>781050</xdr:rowOff>
    </xdr:to>
    <xdr:pic>
      <xdr:nvPicPr>
        <xdr:cNvPr id="1" name="Picture 2" descr="Ine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76275"/>
          <a:ext cx="18288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28575</xdr:colOff>
      <xdr:row>3</xdr:row>
      <xdr:rowOff>209550</xdr:rowOff>
    </xdr:from>
    <xdr:to>
      <xdr:col>10</xdr:col>
      <xdr:colOff>76200</xdr:colOff>
      <xdr:row>3</xdr:row>
      <xdr:rowOff>638175</xdr:rowOff>
    </xdr:to>
    <xdr:sp>
      <xdr:nvSpPr>
        <xdr:cNvPr id="2" name="Seta: para a Esquerda 2">
          <a:hlinkClick r:id="rId2"/>
        </xdr:cNvPr>
        <xdr:cNvSpPr>
          <a:spLocks/>
        </xdr:cNvSpPr>
      </xdr:nvSpPr>
      <xdr:spPr>
        <a:xfrm>
          <a:off x="9544050" y="838200"/>
          <a:ext cx="762000" cy="428625"/>
        </a:xfrm>
        <a:prstGeom prst="leftArrow">
          <a:avLst>
            <a:gd name="adj" fmla="val -2187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VOLTAR</a:t>
          </a:r>
        </a:p>
      </xdr:txBody>
    </xdr:sp>
    <xdr:clientData/>
  </xdr:twoCellAnchor>
  <xdr:twoCellAnchor editAs="oneCell">
    <xdr:from>
      <xdr:col>7</xdr:col>
      <xdr:colOff>2009775</xdr:colOff>
      <xdr:row>3</xdr:row>
      <xdr:rowOff>28575</xdr:rowOff>
    </xdr:from>
    <xdr:to>
      <xdr:col>7</xdr:col>
      <xdr:colOff>2505075</xdr:colOff>
      <xdr:row>3</xdr:row>
      <xdr:rowOff>771525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657225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3124200</xdr:colOff>
      <xdr:row>3</xdr:row>
      <xdr:rowOff>161925</xdr:rowOff>
    </xdr:from>
    <xdr:to>
      <xdr:col>8</xdr:col>
      <xdr:colOff>571500</xdr:colOff>
      <xdr:row>3</xdr:row>
      <xdr:rowOff>771525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10575" y="790575"/>
          <a:ext cx="962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lex\AppData\Local\Microsoft\Windows\INetCache\Content.Outlook\42SBK7XM\C&#243;pia%20de%20TABELA%20E%20DIMENSIONAM%20DE%20SERVI&#199;OS%2003_07_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to"/>
      <sheetName val="Cronograma"/>
      <sheetName val="Preços"/>
      <sheetName val="EPI´S-EPC "/>
      <sheetName val="Custo da Mão de Obra 2"/>
      <sheetName val="ACORDO COLETIVO"/>
      <sheetName val="PINI - Hora"/>
      <sheetName val="PINI - Mês"/>
      <sheetName val="ACT-CCT-Outra - Hora"/>
      <sheetName val="ACT-CCT-Outra - Mês"/>
      <sheetName val="FGV - Hora"/>
      <sheetName val="FGV - Mês"/>
      <sheetName val="SERVIÇOS USINA SOLAR"/>
      <sheetName val="Tabela de Serviços"/>
      <sheetName val="ANÁLISE DE CUSTO"/>
      <sheetName val="BDI MATERIAIS 2"/>
      <sheetName val="DBI SERVIÇOS 2"/>
      <sheetName val="DBI %"/>
      <sheetName val="Referência 1MW"/>
      <sheetName val="1MW"/>
      <sheetName val="Referência 750KW"/>
      <sheetName val="750 KW"/>
      <sheetName val="Referência 75KW"/>
      <sheetName val="75KW"/>
      <sheetName val="Referência 24KW"/>
      <sheetName val="24 KW"/>
      <sheetName val="Referência 48KW"/>
      <sheetName val="48KW"/>
      <sheetName val="Orçamento ORGÃO"/>
      <sheetName val="CompAux"/>
      <sheetName val="Listas"/>
      <sheetName val="Dimension. cabos CC"/>
      <sheetName val="SINAPI"/>
    </sheetNames>
    <sheetDataSet>
      <sheetData sheetId="2">
        <row r="15">
          <cell r="J15">
            <v>0.0165</v>
          </cell>
        </row>
        <row r="16">
          <cell r="J16">
            <v>0.076</v>
          </cell>
        </row>
        <row r="34">
          <cell r="I34">
            <v>0</v>
          </cell>
        </row>
        <row r="40">
          <cell r="I40">
            <v>500</v>
          </cell>
        </row>
        <row r="49">
          <cell r="I49">
            <v>3714.9</v>
          </cell>
        </row>
        <row r="55">
          <cell r="I55">
            <v>0</v>
          </cell>
        </row>
      </sheetData>
      <sheetData sheetId="4">
        <row r="4">
          <cell r="E4">
            <v>7315</v>
          </cell>
        </row>
        <row r="5">
          <cell r="E5">
            <v>2612.5</v>
          </cell>
        </row>
        <row r="6">
          <cell r="E6">
            <v>2090</v>
          </cell>
        </row>
        <row r="7">
          <cell r="E7">
            <v>1567.5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PageLayoutView="0" workbookViewId="0" topLeftCell="A1">
      <selection activeCell="E8" sqref="E8"/>
    </sheetView>
  </sheetViews>
  <sheetFormatPr defaultColWidth="8.8515625" defaultRowHeight="12.75"/>
  <cols>
    <col min="1" max="1" width="5.7109375" style="0" customWidth="1"/>
    <col min="2" max="2" width="5.421875" style="0" customWidth="1"/>
    <col min="3" max="3" width="42.421875" style="0" customWidth="1"/>
    <col min="4" max="4" width="6.140625" style="0" customWidth="1"/>
    <col min="5" max="5" width="8.8515625" style="0" customWidth="1"/>
    <col min="6" max="6" width="12.28125" style="0" bestFit="1" customWidth="1"/>
    <col min="7" max="7" width="14.7109375" style="0" bestFit="1" customWidth="1"/>
  </cols>
  <sheetData>
    <row r="1" spans="1:8" ht="18">
      <c r="A1" s="114"/>
      <c r="B1" s="522" t="s">
        <v>152</v>
      </c>
      <c r="C1" s="522"/>
      <c r="D1" s="522"/>
      <c r="E1" s="522"/>
      <c r="F1" s="522"/>
      <c r="G1" s="522"/>
      <c r="H1" s="115"/>
    </row>
    <row r="2" spans="1:8" ht="15" customHeight="1">
      <c r="A2" s="116"/>
      <c r="B2" s="117"/>
      <c r="C2" s="117"/>
      <c r="D2" s="117"/>
      <c r="E2" s="117"/>
      <c r="F2" s="117"/>
      <c r="G2" s="117"/>
      <c r="H2" s="118"/>
    </row>
    <row r="3" spans="1:8" ht="15" customHeight="1">
      <c r="A3" s="119"/>
      <c r="B3" s="523" t="s">
        <v>153</v>
      </c>
      <c r="C3" s="523"/>
      <c r="D3" s="523"/>
      <c r="E3" s="523"/>
      <c r="F3" s="523"/>
      <c r="G3" s="523"/>
      <c r="H3" s="120"/>
    </row>
    <row r="4" spans="1:8" ht="15" customHeight="1">
      <c r="A4" s="116"/>
      <c r="B4" s="121"/>
      <c r="C4" s="121"/>
      <c r="D4" s="121"/>
      <c r="E4" s="121"/>
      <c r="F4" s="121"/>
      <c r="G4" s="122"/>
      <c r="H4" s="118"/>
    </row>
    <row r="5" spans="1:8" ht="15" customHeight="1">
      <c r="A5" s="116"/>
      <c r="B5" s="530"/>
      <c r="C5" s="530"/>
      <c r="D5" s="530"/>
      <c r="E5" s="530"/>
      <c r="F5" s="530"/>
      <c r="G5" s="530"/>
      <c r="H5" s="118"/>
    </row>
    <row r="6" spans="1:8" ht="15" customHeight="1">
      <c r="A6" s="116"/>
      <c r="B6" s="526" t="s">
        <v>154</v>
      </c>
      <c r="C6" s="528" t="s">
        <v>35</v>
      </c>
      <c r="D6" s="528" t="s">
        <v>155</v>
      </c>
      <c r="E6" s="528" t="s">
        <v>156</v>
      </c>
      <c r="F6" s="524" t="s">
        <v>157</v>
      </c>
      <c r="G6" s="525"/>
      <c r="H6" s="118"/>
    </row>
    <row r="7" spans="1:8" ht="12.75">
      <c r="A7" s="116"/>
      <c r="B7" s="527"/>
      <c r="C7" s="529"/>
      <c r="D7" s="529"/>
      <c r="E7" s="529"/>
      <c r="F7" s="123" t="s">
        <v>158</v>
      </c>
      <c r="G7" s="124" t="s">
        <v>159</v>
      </c>
      <c r="H7" s="118"/>
    </row>
    <row r="8" spans="1:8" ht="114.75" customHeight="1">
      <c r="A8" s="116"/>
      <c r="B8" s="125" t="s">
        <v>160</v>
      </c>
      <c r="C8" s="126" t="s">
        <v>180</v>
      </c>
      <c r="D8" s="127" t="s">
        <v>161</v>
      </c>
      <c r="E8" s="128">
        <v>1</v>
      </c>
      <c r="F8" s="129" t="e">
        <f>G9/E8</f>
        <v>#REF!</v>
      </c>
      <c r="G8" s="129" t="e">
        <f>E8*F8</f>
        <v>#REF!</v>
      </c>
      <c r="H8" s="118"/>
    </row>
    <row r="9" spans="1:8" ht="18.75" customHeight="1">
      <c r="A9" s="116"/>
      <c r="B9" s="130"/>
      <c r="C9" s="131"/>
      <c r="D9" s="131"/>
      <c r="E9" s="131"/>
      <c r="F9" s="132" t="s">
        <v>159</v>
      </c>
      <c r="G9" s="133" t="e">
        <f>Preços!I75</f>
        <v>#REF!</v>
      </c>
      <c r="H9" s="118"/>
    </row>
    <row r="10" spans="1:8" ht="33" customHeight="1" thickBot="1">
      <c r="A10" s="134"/>
      <c r="B10" s="135"/>
      <c r="C10" s="135"/>
      <c r="D10" s="531"/>
      <c r="E10" s="531"/>
      <c r="F10" s="531"/>
      <c r="G10" s="531"/>
      <c r="H10" s="136"/>
    </row>
    <row r="11" spans="2:8" ht="39.75" customHeight="1">
      <c r="B11" s="137"/>
      <c r="C11" s="138"/>
      <c r="D11" s="138"/>
      <c r="E11" s="138"/>
      <c r="F11" s="138"/>
      <c r="G11" s="138"/>
      <c r="H11" s="139"/>
    </row>
    <row r="12" spans="2:7" ht="12.75">
      <c r="B12" s="137"/>
      <c r="C12" s="137"/>
      <c r="D12" s="137"/>
      <c r="E12" s="137"/>
      <c r="F12" s="137"/>
      <c r="G12" s="137"/>
    </row>
  </sheetData>
  <sheetProtection/>
  <mergeCells count="11">
    <mergeCell ref="D10:G10"/>
    <mergeCell ref="B1:G1"/>
    <mergeCell ref="B3:G3"/>
    <mergeCell ref="F6:G6"/>
    <mergeCell ref="B6:B7"/>
    <mergeCell ref="C6:C7"/>
    <mergeCell ref="D6:D7"/>
    <mergeCell ref="E6:E7"/>
    <mergeCell ref="B5:C5"/>
    <mergeCell ref="D5:E5"/>
    <mergeCell ref="F5:G5"/>
  </mergeCells>
  <printOptions horizontalCentered="1" verticalCentered="1"/>
  <pageMargins left="0.5905511811023623" right="0.5905511811023623" top="0.7874015748031497" bottom="0.7874015748031497" header="0.7874015748031497" footer="0.7874015748031497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48"/>
  <sheetViews>
    <sheetView showRowColHeaders="0" zoomScalePageLayoutView="0" workbookViewId="0" topLeftCell="A1">
      <selection activeCell="B47" sqref="B47"/>
    </sheetView>
  </sheetViews>
  <sheetFormatPr defaultColWidth="0" defaultRowHeight="12.75"/>
  <cols>
    <col min="1" max="1" width="0.85546875" style="43" customWidth="1"/>
    <col min="2" max="2" width="59.140625" style="43" customWidth="1"/>
    <col min="3" max="3" width="9.140625" style="51" customWidth="1"/>
    <col min="4" max="4" width="17.28125" style="52" customWidth="1"/>
    <col min="5" max="5" width="0.85546875" style="60" customWidth="1"/>
    <col min="6" max="16384" width="0" style="43" hidden="1" customWidth="1"/>
  </cols>
  <sheetData>
    <row r="1" spans="1:5" ht="18.75" customHeight="1">
      <c r="A1" s="38"/>
      <c r="B1" s="38"/>
      <c r="C1" s="39"/>
      <c r="D1" s="40"/>
      <c r="E1" s="54"/>
    </row>
    <row r="2" spans="1:5" ht="18">
      <c r="A2" s="38"/>
      <c r="B2" s="623" t="s">
        <v>125</v>
      </c>
      <c r="C2" s="623"/>
      <c r="D2" s="623"/>
      <c r="E2" s="54"/>
    </row>
    <row r="3" spans="1:5" ht="6.75" customHeight="1">
      <c r="A3" s="38"/>
      <c r="B3" s="624" t="s">
        <v>86</v>
      </c>
      <c r="C3" s="624"/>
      <c r="D3" s="624"/>
      <c r="E3" s="54"/>
    </row>
    <row r="4" spans="1:5" ht="8.25" customHeight="1">
      <c r="A4" s="38"/>
      <c r="B4" s="625"/>
      <c r="C4" s="625"/>
      <c r="D4" s="625"/>
      <c r="E4" s="54"/>
    </row>
    <row r="5" spans="1:5" ht="12.75">
      <c r="A5" s="38"/>
      <c r="B5" s="626" t="s">
        <v>11</v>
      </c>
      <c r="C5" s="627"/>
      <c r="D5" s="628"/>
      <c r="E5" s="54"/>
    </row>
    <row r="6" spans="1:5" ht="12.75">
      <c r="A6" s="38"/>
      <c r="B6" s="65" t="s">
        <v>0</v>
      </c>
      <c r="C6" s="92" t="s">
        <v>1</v>
      </c>
      <c r="D6" s="90">
        <v>0.2</v>
      </c>
      <c r="E6" s="54"/>
    </row>
    <row r="7" spans="1:5" ht="12.75">
      <c r="A7" s="38"/>
      <c r="B7" s="65" t="s">
        <v>2</v>
      </c>
      <c r="C7" s="92" t="s">
        <v>3</v>
      </c>
      <c r="D7" s="90">
        <v>0.08</v>
      </c>
      <c r="E7" s="54"/>
    </row>
    <row r="8" spans="1:5" ht="12.75">
      <c r="A8" s="38"/>
      <c r="B8" s="65" t="s">
        <v>4</v>
      </c>
      <c r="C8" s="92" t="s">
        <v>76</v>
      </c>
      <c r="D8" s="90">
        <v>0.025</v>
      </c>
      <c r="E8" s="55"/>
    </row>
    <row r="9" spans="1:5" ht="12.75">
      <c r="A9" s="38"/>
      <c r="B9" s="65" t="s">
        <v>77</v>
      </c>
      <c r="C9" s="92" t="s">
        <v>5</v>
      </c>
      <c r="D9" s="90">
        <v>0.015</v>
      </c>
      <c r="E9" s="54"/>
    </row>
    <row r="10" spans="1:5" ht="12.75">
      <c r="A10" s="38"/>
      <c r="B10" s="65" t="s">
        <v>78</v>
      </c>
      <c r="C10" s="92" t="s">
        <v>6</v>
      </c>
      <c r="D10" s="90">
        <v>0.01</v>
      </c>
      <c r="E10" s="54"/>
    </row>
    <row r="11" spans="1:5" ht="12.75">
      <c r="A11" s="38"/>
      <c r="B11" s="65" t="s">
        <v>7</v>
      </c>
      <c r="C11" s="92" t="s">
        <v>8</v>
      </c>
      <c r="D11" s="90">
        <v>0.006</v>
      </c>
      <c r="E11" s="54"/>
    </row>
    <row r="12" spans="1:5" ht="12.75">
      <c r="A12" s="38"/>
      <c r="B12" s="65" t="s">
        <v>34</v>
      </c>
      <c r="C12" s="92" t="s">
        <v>9</v>
      </c>
      <c r="D12" s="90">
        <v>0.002</v>
      </c>
      <c r="E12" s="54"/>
    </row>
    <row r="13" spans="1:5" ht="12.75">
      <c r="A13" s="38"/>
      <c r="B13" s="65" t="s">
        <v>41</v>
      </c>
      <c r="C13" s="92" t="s">
        <v>10</v>
      </c>
      <c r="D13" s="90">
        <f>Preços!J13</f>
        <v>0.03</v>
      </c>
      <c r="E13" s="54"/>
    </row>
    <row r="14" spans="1:5" ht="12.75">
      <c r="A14" s="38"/>
      <c r="B14" s="629" t="s">
        <v>24</v>
      </c>
      <c r="C14" s="630"/>
      <c r="D14" s="48">
        <f>SUM(D6:D13)</f>
        <v>0.3680000000000001</v>
      </c>
      <c r="E14" s="54"/>
    </row>
    <row r="15" spans="1:5" ht="12.75">
      <c r="A15" s="38"/>
      <c r="B15" s="631"/>
      <c r="C15" s="631"/>
      <c r="D15" s="631"/>
      <c r="E15" s="54"/>
    </row>
    <row r="16" spans="1:5" ht="12.75">
      <c r="A16" s="38"/>
      <c r="B16" s="626" t="s">
        <v>21</v>
      </c>
      <c r="C16" s="627"/>
      <c r="D16" s="628"/>
      <c r="E16" s="54"/>
    </row>
    <row r="17" spans="1:5" ht="12.75">
      <c r="A17" s="38"/>
      <c r="B17" s="91" t="s">
        <v>33</v>
      </c>
      <c r="C17" s="92" t="s">
        <v>12</v>
      </c>
      <c r="D17" s="90">
        <v>0</v>
      </c>
      <c r="E17" s="56"/>
    </row>
    <row r="18" spans="1:5" ht="12.75">
      <c r="A18" s="38"/>
      <c r="B18" s="91" t="s">
        <v>13</v>
      </c>
      <c r="C18" s="92" t="s">
        <v>14</v>
      </c>
      <c r="D18" s="90">
        <v>0</v>
      </c>
      <c r="E18" s="56"/>
    </row>
    <row r="19" spans="1:5" ht="12.75">
      <c r="A19" s="38"/>
      <c r="B19" s="65" t="s">
        <v>15</v>
      </c>
      <c r="C19" s="92" t="s">
        <v>16</v>
      </c>
      <c r="D19" s="90">
        <v>0</v>
      </c>
      <c r="E19" s="54"/>
    </row>
    <row r="20" spans="1:5" ht="12.75">
      <c r="A20" s="38"/>
      <c r="B20" s="65" t="s">
        <v>132</v>
      </c>
      <c r="C20" s="92" t="s">
        <v>18</v>
      </c>
      <c r="D20" s="90">
        <v>0</v>
      </c>
      <c r="E20" s="55"/>
    </row>
    <row r="21" spans="1:5" ht="12.75">
      <c r="A21" s="38"/>
      <c r="B21" s="65" t="s">
        <v>19</v>
      </c>
      <c r="C21" s="92" t="s">
        <v>20</v>
      </c>
      <c r="D21" s="90">
        <v>0.0822</v>
      </c>
      <c r="E21" s="55"/>
    </row>
    <row r="22" spans="1:5" ht="12.75">
      <c r="A22" s="38"/>
      <c r="B22" s="65" t="s">
        <v>79</v>
      </c>
      <c r="C22" s="92" t="s">
        <v>80</v>
      </c>
      <c r="D22" s="90">
        <v>0</v>
      </c>
      <c r="E22" s="55"/>
    </row>
    <row r="23" spans="1:5" ht="12.75">
      <c r="A23" s="38"/>
      <c r="B23" s="65" t="s">
        <v>128</v>
      </c>
      <c r="C23" s="92" t="s">
        <v>129</v>
      </c>
      <c r="D23" s="90">
        <v>0.005</v>
      </c>
      <c r="E23" s="55"/>
    </row>
    <row r="24" spans="1:5" ht="12.75">
      <c r="A24" s="38"/>
      <c r="B24" s="65" t="s">
        <v>131</v>
      </c>
      <c r="C24" s="92" t="s">
        <v>130</v>
      </c>
      <c r="D24" s="90">
        <v>0.0034</v>
      </c>
      <c r="E24" s="55"/>
    </row>
    <row r="25" spans="1:5" ht="12.75">
      <c r="A25" s="38"/>
      <c r="B25" s="65"/>
      <c r="C25" s="92"/>
      <c r="D25" s="90"/>
      <c r="E25" s="55"/>
    </row>
    <row r="26" spans="1:5" ht="12.75">
      <c r="A26" s="38"/>
      <c r="B26" s="65"/>
      <c r="C26" s="92"/>
      <c r="D26" s="90"/>
      <c r="E26" s="55"/>
    </row>
    <row r="27" spans="1:5" ht="12.75">
      <c r="A27" s="38"/>
      <c r="B27" s="629" t="s">
        <v>23</v>
      </c>
      <c r="C27" s="630"/>
      <c r="D27" s="48">
        <f>SUM(D17:D26)</f>
        <v>0.0906</v>
      </c>
      <c r="E27" s="57"/>
    </row>
    <row r="28" spans="1:5" ht="12.75">
      <c r="A28" s="38"/>
      <c r="B28" s="631"/>
      <c r="C28" s="631"/>
      <c r="D28" s="631"/>
      <c r="E28" s="57"/>
    </row>
    <row r="29" spans="1:5" ht="12.75">
      <c r="A29" s="38"/>
      <c r="B29" s="626" t="s">
        <v>22</v>
      </c>
      <c r="C29" s="627"/>
      <c r="D29" s="628"/>
      <c r="E29" s="54"/>
    </row>
    <row r="30" spans="1:5" ht="12.75">
      <c r="A30" s="38"/>
      <c r="B30" s="65" t="s">
        <v>81</v>
      </c>
      <c r="C30" s="92" t="s">
        <v>43</v>
      </c>
      <c r="D30" s="90">
        <f>50%*(D7+(D7*D27))</f>
        <v>0.043624</v>
      </c>
      <c r="E30" s="54"/>
    </row>
    <row r="31" spans="1:5" ht="12.75">
      <c r="A31" s="38"/>
      <c r="B31" s="93" t="s">
        <v>82</v>
      </c>
      <c r="C31" s="92" t="s">
        <v>72</v>
      </c>
      <c r="D31" s="90">
        <v>0.1093</v>
      </c>
      <c r="E31" s="54"/>
    </row>
    <row r="32" spans="1:5" ht="12.75">
      <c r="A32" s="38"/>
      <c r="B32" s="93" t="s">
        <v>61</v>
      </c>
      <c r="C32" s="92" t="s">
        <v>60</v>
      </c>
      <c r="D32" s="90">
        <v>0.102</v>
      </c>
      <c r="E32" s="54"/>
    </row>
    <row r="33" spans="1:5" ht="12.75">
      <c r="A33" s="38"/>
      <c r="B33" s="93" t="s">
        <v>62</v>
      </c>
      <c r="C33" s="92" t="s">
        <v>127</v>
      </c>
      <c r="D33" s="90">
        <v>0.0057</v>
      </c>
      <c r="E33" s="54"/>
    </row>
    <row r="34" spans="1:5" ht="12.75">
      <c r="A34" s="38"/>
      <c r="B34" s="93"/>
      <c r="C34" s="92"/>
      <c r="D34" s="90"/>
      <c r="E34" s="54"/>
    </row>
    <row r="35" spans="1:5" ht="12.75">
      <c r="A35" s="38"/>
      <c r="B35" s="93"/>
      <c r="C35" s="92"/>
      <c r="D35" s="90"/>
      <c r="E35" s="54"/>
    </row>
    <row r="36" spans="1:5" ht="12.75">
      <c r="A36" s="38"/>
      <c r="B36" s="93"/>
      <c r="C36" s="92"/>
      <c r="D36" s="90"/>
      <c r="E36" s="54"/>
    </row>
    <row r="37" spans="1:5" ht="12.75">
      <c r="A37" s="38"/>
      <c r="B37" s="629" t="s">
        <v>25</v>
      </c>
      <c r="C37" s="630"/>
      <c r="D37" s="48">
        <f>SUM(D30:D36)</f>
        <v>0.26062399999999997</v>
      </c>
      <c r="E37" s="54"/>
    </row>
    <row r="38" spans="1:5" ht="12.75">
      <c r="A38" s="38"/>
      <c r="B38" s="631"/>
      <c r="C38" s="631"/>
      <c r="D38" s="631"/>
      <c r="E38" s="54"/>
    </row>
    <row r="39" spans="1:5" ht="12.75">
      <c r="A39" s="38"/>
      <c r="B39" s="626" t="s">
        <v>133</v>
      </c>
      <c r="C39" s="627"/>
      <c r="D39" s="628"/>
      <c r="E39" s="54"/>
    </row>
    <row r="40" spans="1:5" ht="12.75">
      <c r="A40" s="38"/>
      <c r="B40" s="65" t="s">
        <v>26</v>
      </c>
      <c r="C40" s="92" t="s">
        <v>44</v>
      </c>
      <c r="D40" s="90">
        <f>D14*D27</f>
        <v>0.03334080000000001</v>
      </c>
      <c r="E40" s="54"/>
    </row>
    <row r="41" spans="1:5" ht="12.75">
      <c r="A41" s="38"/>
      <c r="B41" s="65" t="s">
        <v>84</v>
      </c>
      <c r="C41" s="92" t="s">
        <v>63</v>
      </c>
      <c r="D41" s="90">
        <f>D7*D32</f>
        <v>0.008159999999999999</v>
      </c>
      <c r="E41" s="54"/>
    </row>
    <row r="42" spans="1:5" ht="12.75">
      <c r="A42" s="38"/>
      <c r="B42" s="65"/>
      <c r="C42" s="92"/>
      <c r="D42" s="90"/>
      <c r="E42" s="54"/>
    </row>
    <row r="43" spans="1:5" ht="12.75">
      <c r="A43" s="38"/>
      <c r="B43" s="65"/>
      <c r="C43" s="92"/>
      <c r="D43" s="90"/>
      <c r="E43" s="54"/>
    </row>
    <row r="44" spans="1:5" ht="12.75">
      <c r="A44" s="38"/>
      <c r="B44" s="65"/>
      <c r="C44" s="92"/>
      <c r="D44" s="90"/>
      <c r="E44" s="54"/>
    </row>
    <row r="45" spans="1:5" ht="12.75">
      <c r="A45" s="38"/>
      <c r="B45" s="629" t="s">
        <v>27</v>
      </c>
      <c r="C45" s="630"/>
      <c r="D45" s="48">
        <f>SUM(D40:D44)</f>
        <v>0.04150080000000001</v>
      </c>
      <c r="E45" s="54"/>
    </row>
    <row r="46" spans="1:5" ht="12.75">
      <c r="A46" s="38"/>
      <c r="B46" s="632"/>
      <c r="C46" s="632"/>
      <c r="D46" s="632"/>
      <c r="E46" s="54"/>
    </row>
    <row r="47" spans="1:5" ht="12.75">
      <c r="A47" s="38"/>
      <c r="B47" s="633" t="s">
        <v>28</v>
      </c>
      <c r="C47" s="633"/>
      <c r="D47" s="48">
        <f>D14+D27+D37+D45</f>
        <v>0.7607248000000001</v>
      </c>
      <c r="E47" s="54"/>
    </row>
    <row r="48" spans="1:5" ht="12.75">
      <c r="A48" s="38"/>
      <c r="B48" s="39"/>
      <c r="C48" s="40"/>
      <c r="D48" s="38"/>
      <c r="E48" s="54"/>
    </row>
  </sheetData>
  <sheetProtection password="CC6D" sheet="1" objects="1" scenarios="1" insertRows="0" deleteRows="0"/>
  <mergeCells count="15">
    <mergeCell ref="B27:C27"/>
    <mergeCell ref="B28:D28"/>
    <mergeCell ref="B45:C45"/>
    <mergeCell ref="B46:D46"/>
    <mergeCell ref="B47:C47"/>
    <mergeCell ref="B29:D29"/>
    <mergeCell ref="B37:C37"/>
    <mergeCell ref="B38:D38"/>
    <mergeCell ref="B39:D39"/>
    <mergeCell ref="B2:D2"/>
    <mergeCell ref="B3:D4"/>
    <mergeCell ref="B5:D5"/>
    <mergeCell ref="B14:C14"/>
    <mergeCell ref="B15:D15"/>
    <mergeCell ref="B16:D16"/>
  </mergeCells>
  <printOptions/>
  <pageMargins left="0.787401575" right="0.787401575" top="0.984251969" bottom="0.984251969" header="0.492125985" footer="0.492125985"/>
  <pageSetup blackAndWhite="1" fitToHeight="1" fitToWidth="1" horizontalDpi="600" verticalDpi="600" orientation="portrait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219"/>
  <sheetViews>
    <sheetView showGridLines="0" showRowColHeaders="0" zoomScalePageLayoutView="0" workbookViewId="0" topLeftCell="A1">
      <selection activeCell="B47" sqref="B47"/>
    </sheetView>
  </sheetViews>
  <sheetFormatPr defaultColWidth="11.421875" defaultRowHeight="12.75"/>
  <cols>
    <col min="1" max="1" width="0.85546875" style="43" customWidth="1"/>
    <col min="2" max="2" width="59.140625" style="43" customWidth="1"/>
    <col min="3" max="3" width="11.421875" style="51" customWidth="1"/>
    <col min="4" max="4" width="17.28125" style="52" customWidth="1"/>
    <col min="5" max="5" width="0.85546875" style="42" customWidth="1"/>
    <col min="6" max="6" width="9.140625" style="42" hidden="1" customWidth="1"/>
    <col min="7" max="7" width="0.13671875" style="43" hidden="1" customWidth="1"/>
    <col min="8" max="16384" width="11.421875" style="43" customWidth="1"/>
  </cols>
  <sheetData>
    <row r="1" spans="1:5" ht="18.75" customHeight="1">
      <c r="A1" s="38"/>
      <c r="B1" s="38"/>
      <c r="C1" s="39"/>
      <c r="D1" s="40"/>
      <c r="E1" s="41"/>
    </row>
    <row r="2" spans="1:5" ht="18">
      <c r="A2" s="38"/>
      <c r="B2" s="623" t="s">
        <v>104</v>
      </c>
      <c r="C2" s="623"/>
      <c r="D2" s="623"/>
      <c r="E2" s="41"/>
    </row>
    <row r="3" spans="1:5" ht="6.75" customHeight="1">
      <c r="A3" s="38"/>
      <c r="B3" s="624" t="s">
        <v>49</v>
      </c>
      <c r="C3" s="624"/>
      <c r="D3" s="624"/>
      <c r="E3" s="41"/>
    </row>
    <row r="4" spans="1:5" ht="8.25" customHeight="1">
      <c r="A4" s="38"/>
      <c r="B4" s="625"/>
      <c r="C4" s="625"/>
      <c r="D4" s="625"/>
      <c r="E4" s="41"/>
    </row>
    <row r="5" spans="1:5" ht="12.75">
      <c r="A5" s="38"/>
      <c r="B5" s="626" t="s">
        <v>11</v>
      </c>
      <c r="C5" s="627"/>
      <c r="D5" s="628"/>
      <c r="E5" s="41"/>
    </row>
    <row r="6" spans="1:5" ht="12.75">
      <c r="A6" s="38"/>
      <c r="B6" s="44" t="s">
        <v>0</v>
      </c>
      <c r="C6" s="45" t="s">
        <v>1</v>
      </c>
      <c r="D6" s="46">
        <v>0.2</v>
      </c>
      <c r="E6" s="41"/>
    </row>
    <row r="7" spans="1:5" ht="12.75">
      <c r="A7" s="38"/>
      <c r="B7" s="44" t="s">
        <v>2</v>
      </c>
      <c r="C7" s="45" t="s">
        <v>3</v>
      </c>
      <c r="D7" s="46">
        <v>0.08</v>
      </c>
      <c r="E7" s="41"/>
    </row>
    <row r="8" spans="1:5" ht="12.75">
      <c r="A8" s="38"/>
      <c r="B8" s="44" t="s">
        <v>4</v>
      </c>
      <c r="C8" s="45" t="s">
        <v>5</v>
      </c>
      <c r="D8" s="46">
        <v>0.025</v>
      </c>
      <c r="E8" s="41"/>
    </row>
    <row r="9" spans="1:5" ht="12.75">
      <c r="A9" s="38"/>
      <c r="B9" s="44" t="s">
        <v>68</v>
      </c>
      <c r="C9" s="45" t="s">
        <v>6</v>
      </c>
      <c r="D9" s="46">
        <v>0.015</v>
      </c>
      <c r="E9" s="47"/>
    </row>
    <row r="10" spans="1:5" ht="12.75">
      <c r="A10" s="38"/>
      <c r="B10" s="44" t="s">
        <v>69</v>
      </c>
      <c r="C10" s="45" t="s">
        <v>8</v>
      </c>
      <c r="D10" s="46">
        <v>0.01</v>
      </c>
      <c r="E10" s="41"/>
    </row>
    <row r="11" spans="1:5" ht="12.75">
      <c r="A11" s="38"/>
      <c r="B11" s="44" t="s">
        <v>7</v>
      </c>
      <c r="C11" s="45" t="s">
        <v>9</v>
      </c>
      <c r="D11" s="46">
        <v>0.006</v>
      </c>
      <c r="E11" s="41"/>
    </row>
    <row r="12" spans="1:5" ht="12.75">
      <c r="A12" s="38"/>
      <c r="B12" s="44" t="s">
        <v>34</v>
      </c>
      <c r="C12" s="45" t="s">
        <v>10</v>
      </c>
      <c r="D12" s="46">
        <v>0.002</v>
      </c>
      <c r="E12" s="41"/>
    </row>
    <row r="13" spans="1:5" ht="12.75">
      <c r="A13" s="38"/>
      <c r="B13" s="44" t="s">
        <v>41</v>
      </c>
      <c r="C13" s="45" t="s">
        <v>59</v>
      </c>
      <c r="D13" s="46">
        <f>Preços!J13</f>
        <v>0.03</v>
      </c>
      <c r="E13" s="41"/>
    </row>
    <row r="14" spans="1:5" ht="12.75">
      <c r="A14" s="38"/>
      <c r="B14" s="629" t="s">
        <v>24</v>
      </c>
      <c r="C14" s="630"/>
      <c r="D14" s="48">
        <f>SUM(D6:D13)</f>
        <v>0.3680000000000001</v>
      </c>
      <c r="E14" s="41"/>
    </row>
    <row r="15" spans="1:5" ht="8.25" customHeight="1">
      <c r="A15" s="38"/>
      <c r="B15" s="631"/>
      <c r="C15" s="631"/>
      <c r="D15" s="631"/>
      <c r="E15" s="41"/>
    </row>
    <row r="16" spans="1:5" ht="12.75" customHeight="1">
      <c r="A16" s="38"/>
      <c r="B16" s="626" t="s">
        <v>21</v>
      </c>
      <c r="C16" s="627"/>
      <c r="D16" s="628"/>
      <c r="E16" s="41"/>
    </row>
    <row r="17" spans="1:5" ht="12.75">
      <c r="A17" s="38"/>
      <c r="B17" s="49" t="s">
        <v>33</v>
      </c>
      <c r="C17" s="45" t="s">
        <v>12</v>
      </c>
      <c r="D17" s="46">
        <v>0.1877</v>
      </c>
      <c r="E17" s="41"/>
    </row>
    <row r="18" spans="1:5" ht="12.75">
      <c r="A18" s="38"/>
      <c r="B18" s="49" t="s">
        <v>13</v>
      </c>
      <c r="C18" s="45" t="s">
        <v>14</v>
      </c>
      <c r="D18" s="46">
        <v>0.0397</v>
      </c>
      <c r="E18" s="41"/>
    </row>
    <row r="19" spans="1:5" ht="12.75">
      <c r="A19" s="38"/>
      <c r="B19" s="44" t="s">
        <v>15</v>
      </c>
      <c r="C19" s="45" t="s">
        <v>16</v>
      </c>
      <c r="D19" s="46">
        <v>0.0185</v>
      </c>
      <c r="E19" s="41"/>
    </row>
    <row r="20" spans="1:5" ht="12.75">
      <c r="A20" s="38"/>
      <c r="B20" s="44" t="s">
        <v>17</v>
      </c>
      <c r="C20" s="45" t="s">
        <v>18</v>
      </c>
      <c r="D20" s="46">
        <v>0.0009</v>
      </c>
      <c r="E20" s="41"/>
    </row>
    <row r="21" spans="1:5" ht="12.75">
      <c r="A21" s="38"/>
      <c r="B21" s="44" t="s">
        <v>19</v>
      </c>
      <c r="C21" s="45" t="s">
        <v>20</v>
      </c>
      <c r="D21" s="46">
        <v>0.1083</v>
      </c>
      <c r="E21" s="41"/>
    </row>
    <row r="22" spans="1:5" ht="12.75">
      <c r="A22" s="38"/>
      <c r="B22" s="44" t="str">
        <f>IF(Preços!R6&lt;3,"","Aviso Prévio Trabalhado")</f>
        <v>Aviso Prévio Trabalhado</v>
      </c>
      <c r="C22" s="45" t="str">
        <f>IF(B22="","","B6")</f>
        <v>B6</v>
      </c>
      <c r="D22" s="46">
        <f>IF(C22="","",(7/30)/Preços!R6)</f>
        <v>0.019444444444444445</v>
      </c>
      <c r="E22" s="41"/>
    </row>
    <row r="23" spans="1:5" ht="12.75">
      <c r="A23" s="38"/>
      <c r="B23" s="44" t="str">
        <f>IF(Preços!R6&lt;12,"","Férias")</f>
        <v>Férias</v>
      </c>
      <c r="C23" s="45" t="str">
        <f>IF(B23="","","B7")</f>
        <v>B7</v>
      </c>
      <c r="D23" s="46">
        <f>IF(C23="","",0.0903)</f>
        <v>0.0903</v>
      </c>
      <c r="E23" s="41"/>
    </row>
    <row r="24" spans="1:5" ht="12.75">
      <c r="A24" s="38"/>
      <c r="B24" s="44" t="str">
        <f>IF(Preços!R6&lt;12,"","1/3 Férias")</f>
        <v>1/3 Férias</v>
      </c>
      <c r="C24" s="45" t="str">
        <f>IF(B24="","","B8")</f>
        <v>B8</v>
      </c>
      <c r="D24" s="46">
        <f>IF(C24="","",0.0361)</f>
        <v>0.0361</v>
      </c>
      <c r="E24" s="41"/>
    </row>
    <row r="25" spans="1:5" ht="12.75">
      <c r="A25" s="38"/>
      <c r="B25" s="629" t="s">
        <v>23</v>
      </c>
      <c r="C25" s="630"/>
      <c r="D25" s="48">
        <f>SUM(D17:D24)</f>
        <v>0.5009444444444444</v>
      </c>
      <c r="E25" s="41"/>
    </row>
    <row r="26" spans="1:5" ht="8.25" customHeight="1">
      <c r="A26" s="38"/>
      <c r="B26" s="631"/>
      <c r="C26" s="631"/>
      <c r="D26" s="631"/>
      <c r="E26" s="41"/>
    </row>
    <row r="27" spans="1:5" ht="12.75" customHeight="1">
      <c r="A27" s="38"/>
      <c r="B27" s="626" t="s">
        <v>22</v>
      </c>
      <c r="C27" s="627"/>
      <c r="D27" s="628"/>
      <c r="E27" s="41"/>
    </row>
    <row r="28" spans="1:5" ht="12.75">
      <c r="A28" s="38"/>
      <c r="B28" s="44" t="s">
        <v>71</v>
      </c>
      <c r="C28" s="45" t="s">
        <v>43</v>
      </c>
      <c r="D28" s="46">
        <f>50%*(D7+(D7*D25))</f>
        <v>0.06003777777777777</v>
      </c>
      <c r="E28" s="41"/>
    </row>
    <row r="29" spans="1:5" ht="12.75">
      <c r="A29" s="38"/>
      <c r="B29" s="44" t="s">
        <v>61</v>
      </c>
      <c r="C29" s="45" t="s">
        <v>72</v>
      </c>
      <c r="D29" s="46">
        <f>IF(Preços!R6&lt;3,0,(1/Preços!R6)*5%)</f>
        <v>0.004166666666666667</v>
      </c>
      <c r="E29" s="41"/>
    </row>
    <row r="30" spans="1:5" ht="12.75">
      <c r="A30" s="38"/>
      <c r="B30" s="44" t="s">
        <v>62</v>
      </c>
      <c r="C30" s="45" t="s">
        <v>60</v>
      </c>
      <c r="D30" s="46">
        <f>IF(Preços!R6&lt;3,0,(1/12)*1%)</f>
        <v>0.0008333333333333333</v>
      </c>
      <c r="E30" s="41"/>
    </row>
    <row r="31" spans="1:5" ht="12.75">
      <c r="A31" s="38"/>
      <c r="B31" s="44">
        <f>IF(B23="","Férias Indenizadas","")</f>
      </c>
      <c r="C31" s="45">
        <f>IF(B23="","C4","")</f>
      </c>
      <c r="D31" s="46">
        <f>IF(B23&lt;&gt;"","",0.1264)</f>
      </c>
      <c r="E31" s="41"/>
    </row>
    <row r="32" spans="1:5" ht="12.75">
      <c r="A32" s="38"/>
      <c r="B32" s="629" t="s">
        <v>25</v>
      </c>
      <c r="C32" s="630"/>
      <c r="D32" s="48">
        <f>SUM(D28:D31)</f>
        <v>0.06503777777777778</v>
      </c>
      <c r="E32" s="41"/>
    </row>
    <row r="33" spans="1:5" ht="8.25" customHeight="1">
      <c r="A33" s="38"/>
      <c r="B33" s="631"/>
      <c r="C33" s="631"/>
      <c r="D33" s="631"/>
      <c r="E33" s="41"/>
    </row>
    <row r="34" spans="1:5" ht="12.75">
      <c r="A34" s="38"/>
      <c r="B34" s="626" t="s">
        <v>70</v>
      </c>
      <c r="C34" s="627"/>
      <c r="D34" s="628"/>
      <c r="E34" s="41"/>
    </row>
    <row r="35" spans="1:5" ht="12.75" customHeight="1">
      <c r="A35" s="38"/>
      <c r="B35" s="44" t="s">
        <v>26</v>
      </c>
      <c r="C35" s="45" t="s">
        <v>44</v>
      </c>
      <c r="D35" s="46">
        <f>D14*D25</f>
        <v>0.1843475555555556</v>
      </c>
      <c r="E35" s="41"/>
    </row>
    <row r="36" spans="1:5" ht="12.75">
      <c r="A36" s="38"/>
      <c r="B36" s="50" t="s">
        <v>64</v>
      </c>
      <c r="C36" s="45" t="s">
        <v>63</v>
      </c>
      <c r="D36" s="46">
        <f>D7*D29</f>
        <v>0.0003333333333333333</v>
      </c>
      <c r="E36" s="41"/>
    </row>
    <row r="37" spans="1:5" ht="12.75">
      <c r="A37" s="38"/>
      <c r="B37" s="50">
        <f>IF(B31="","","Incidência de FGTS sobre Férias Indenizadas")</f>
      </c>
      <c r="C37" s="45">
        <f>IF(B37="","","D3")</f>
      </c>
      <c r="D37" s="46">
        <f>IF(C37="","",(D7*D31))</f>
      </c>
      <c r="E37" s="41"/>
    </row>
    <row r="38" spans="1:5" ht="12.75">
      <c r="A38" s="38"/>
      <c r="B38" s="629" t="s">
        <v>27</v>
      </c>
      <c r="C38" s="630"/>
      <c r="D38" s="48">
        <f>SUM(D35:D37)</f>
        <v>0.18468088888888892</v>
      </c>
      <c r="E38" s="41"/>
    </row>
    <row r="39" spans="1:5" ht="12.75">
      <c r="A39" s="38"/>
      <c r="B39" s="632"/>
      <c r="C39" s="632"/>
      <c r="D39" s="632"/>
      <c r="E39" s="41"/>
    </row>
    <row r="40" spans="1:5" ht="12.75">
      <c r="A40" s="38"/>
      <c r="B40" s="633" t="s">
        <v>28</v>
      </c>
      <c r="C40" s="633"/>
      <c r="D40" s="48">
        <f>D14+D25+D32+D38</f>
        <v>1.1186631111111112</v>
      </c>
      <c r="E40" s="41"/>
    </row>
    <row r="41" spans="1:5" ht="8.25" customHeight="1">
      <c r="A41" s="38"/>
      <c r="B41" s="39"/>
      <c r="C41" s="40"/>
      <c r="D41" s="38"/>
      <c r="E41" s="41"/>
    </row>
    <row r="42" ht="16.5" customHeight="1"/>
    <row r="43" ht="8.25" customHeight="1"/>
    <row r="44" ht="15.75" customHeight="1"/>
    <row r="45" ht="8.25" customHeight="1"/>
    <row r="46" ht="15.75" customHeight="1"/>
    <row r="47" ht="8.25" customHeight="1"/>
    <row r="48" ht="15.75" customHeight="1"/>
    <row r="49" ht="8.25" customHeight="1"/>
    <row r="50" ht="12.75" customHeight="1"/>
    <row r="51" ht="8.25" customHeight="1"/>
    <row r="52" ht="15.75" customHeight="1"/>
    <row r="53" ht="12.75" customHeight="1"/>
    <row r="58" ht="6.75" customHeight="1"/>
    <row r="60" ht="12.75">
      <c r="F60" s="53"/>
    </row>
    <row r="61" s="51" customFormat="1" ht="14.25" customHeight="1">
      <c r="F61" s="53" t="e">
        <f>SUM(#REF!,#REF!)</f>
        <v>#REF!</v>
      </c>
    </row>
    <row r="62" spans="1:6" ht="12.75">
      <c r="A62" s="51"/>
      <c r="B62" s="51"/>
      <c r="C62" s="52"/>
      <c r="D62" s="51"/>
      <c r="E62" s="51"/>
      <c r="F62" s="51"/>
    </row>
    <row r="63" spans="1:6" ht="6" customHeight="1">
      <c r="A63" s="51"/>
      <c r="B63" s="51"/>
      <c r="C63" s="52"/>
      <c r="D63" s="43"/>
      <c r="E63" s="51"/>
      <c r="F63" s="51"/>
    </row>
    <row r="64" spans="2:4" ht="12.75">
      <c r="B64" s="51"/>
      <c r="C64" s="52"/>
      <c r="D64" s="43"/>
    </row>
    <row r="65" spans="2:4" ht="12.75">
      <c r="B65" s="51"/>
      <c r="C65" s="52"/>
      <c r="D65" s="43"/>
    </row>
    <row r="66" spans="2:4" ht="12.75">
      <c r="B66" s="51"/>
      <c r="C66" s="52"/>
      <c r="D66" s="43"/>
    </row>
    <row r="67" spans="2:4" ht="12.75">
      <c r="B67" s="51"/>
      <c r="C67" s="52"/>
      <c r="D67" s="43"/>
    </row>
    <row r="68" spans="2:4" ht="12.75">
      <c r="B68" s="51"/>
      <c r="C68" s="52"/>
      <c r="D68" s="43"/>
    </row>
    <row r="69" spans="2:4" ht="12.75">
      <c r="B69" s="51"/>
      <c r="C69" s="52"/>
      <c r="D69" s="43"/>
    </row>
    <row r="70" spans="2:4" ht="12.75">
      <c r="B70" s="51"/>
      <c r="C70" s="52"/>
      <c r="D70" s="43"/>
    </row>
    <row r="71" spans="2:4" ht="12.75">
      <c r="B71" s="51"/>
      <c r="C71" s="52"/>
      <c r="D71" s="43"/>
    </row>
    <row r="72" spans="2:4" ht="12.75">
      <c r="B72" s="51"/>
      <c r="C72" s="52"/>
      <c r="D72" s="43"/>
    </row>
    <row r="73" spans="2:4" ht="12.75">
      <c r="B73" s="51"/>
      <c r="C73" s="52"/>
      <c r="D73" s="43"/>
    </row>
    <row r="74" spans="2:4" ht="12.75">
      <c r="B74" s="51"/>
      <c r="C74" s="52"/>
      <c r="D74" s="43"/>
    </row>
    <row r="75" spans="2:4" ht="12.75">
      <c r="B75" s="51"/>
      <c r="C75" s="52"/>
      <c r="D75" s="43"/>
    </row>
    <row r="76" spans="2:4" ht="12.75">
      <c r="B76" s="51"/>
      <c r="C76" s="52"/>
      <c r="D76" s="43"/>
    </row>
    <row r="77" spans="2:4" ht="12.75">
      <c r="B77" s="51"/>
      <c r="C77" s="52"/>
      <c r="D77" s="43"/>
    </row>
    <row r="78" spans="2:4" ht="12.75">
      <c r="B78" s="51"/>
      <c r="C78" s="52"/>
      <c r="D78" s="43"/>
    </row>
    <row r="79" spans="2:4" ht="12.75">
      <c r="B79" s="51"/>
      <c r="C79" s="52"/>
      <c r="D79" s="43"/>
    </row>
    <row r="80" spans="2:4" ht="12.75">
      <c r="B80" s="51"/>
      <c r="C80" s="52"/>
      <c r="D80" s="43"/>
    </row>
    <row r="81" spans="2:4" ht="12.75">
      <c r="B81" s="51"/>
      <c r="C81" s="52"/>
      <c r="D81" s="43"/>
    </row>
    <row r="82" spans="2:4" ht="12.75">
      <c r="B82" s="51"/>
      <c r="C82" s="52"/>
      <c r="D82" s="43"/>
    </row>
    <row r="83" spans="2:4" ht="12.75">
      <c r="B83" s="51"/>
      <c r="C83" s="52"/>
      <c r="D83" s="43"/>
    </row>
    <row r="84" spans="2:4" ht="12.75">
      <c r="B84" s="51"/>
      <c r="C84" s="52"/>
      <c r="D84" s="43"/>
    </row>
    <row r="85" spans="2:4" ht="12.75">
      <c r="B85" s="51"/>
      <c r="C85" s="52"/>
      <c r="D85" s="43"/>
    </row>
    <row r="86" spans="2:4" ht="12.75">
      <c r="B86" s="51"/>
      <c r="C86" s="52"/>
      <c r="D86" s="43"/>
    </row>
    <row r="87" spans="2:4" ht="12.75">
      <c r="B87" s="51"/>
      <c r="C87" s="52"/>
      <c r="D87" s="43"/>
    </row>
    <row r="88" spans="2:4" ht="12.75">
      <c r="B88" s="51"/>
      <c r="C88" s="52"/>
      <c r="D88" s="43"/>
    </row>
    <row r="89" spans="2:4" ht="12.75">
      <c r="B89" s="51"/>
      <c r="C89" s="52"/>
      <c r="D89" s="43"/>
    </row>
    <row r="90" spans="2:4" ht="12.75">
      <c r="B90" s="51"/>
      <c r="C90" s="52"/>
      <c r="D90" s="43"/>
    </row>
    <row r="91" spans="2:4" ht="12.75">
      <c r="B91" s="51"/>
      <c r="C91" s="52"/>
      <c r="D91" s="43"/>
    </row>
    <row r="92" spans="2:4" ht="12.75">
      <c r="B92" s="51"/>
      <c r="C92" s="52"/>
      <c r="D92" s="43"/>
    </row>
    <row r="93" spans="2:4" ht="12.75">
      <c r="B93" s="51"/>
      <c r="C93" s="52"/>
      <c r="D93" s="43"/>
    </row>
    <row r="94" spans="2:4" ht="12.75">
      <c r="B94" s="51"/>
      <c r="C94" s="52"/>
      <c r="D94" s="43"/>
    </row>
    <row r="95" spans="2:4" ht="12.75">
      <c r="B95" s="51"/>
      <c r="C95" s="52"/>
      <c r="D95" s="43"/>
    </row>
    <row r="96" spans="2:4" ht="12.75">
      <c r="B96" s="51"/>
      <c r="C96" s="52"/>
      <c r="D96" s="43"/>
    </row>
    <row r="97" spans="2:4" ht="12.75">
      <c r="B97" s="51"/>
      <c r="C97" s="52"/>
      <c r="D97" s="43"/>
    </row>
    <row r="98" spans="2:4" ht="12.75">
      <c r="B98" s="51"/>
      <c r="C98" s="52"/>
      <c r="D98" s="43"/>
    </row>
    <row r="99" spans="2:4" ht="12.75">
      <c r="B99" s="51"/>
      <c r="C99" s="52"/>
      <c r="D99" s="43"/>
    </row>
    <row r="100" spans="2:4" ht="12.75">
      <c r="B100" s="51"/>
      <c r="C100" s="52"/>
      <c r="D100" s="43"/>
    </row>
    <row r="101" spans="2:4" ht="12.75">
      <c r="B101" s="51"/>
      <c r="C101" s="52"/>
      <c r="D101" s="43"/>
    </row>
    <row r="102" spans="2:4" ht="12.75">
      <c r="B102" s="51"/>
      <c r="C102" s="52"/>
      <c r="D102" s="43"/>
    </row>
    <row r="103" spans="2:4" ht="12.75">
      <c r="B103" s="51"/>
      <c r="C103" s="52"/>
      <c r="D103" s="43"/>
    </row>
    <row r="104" spans="2:4" ht="12.75">
      <c r="B104" s="51"/>
      <c r="C104" s="52"/>
      <c r="D104" s="43"/>
    </row>
    <row r="105" spans="2:4" ht="12.75">
      <c r="B105" s="51"/>
      <c r="C105" s="52"/>
      <c r="D105" s="43"/>
    </row>
    <row r="106" spans="2:4" ht="12.75">
      <c r="B106" s="51"/>
      <c r="C106" s="52"/>
      <c r="D106" s="43"/>
    </row>
    <row r="107" spans="2:4" ht="12.75">
      <c r="B107" s="51"/>
      <c r="C107" s="52"/>
      <c r="D107" s="43"/>
    </row>
    <row r="108" spans="2:4" ht="12.75">
      <c r="B108" s="51"/>
      <c r="C108" s="52"/>
      <c r="D108" s="43"/>
    </row>
    <row r="109" spans="2:4" ht="12.75">
      <c r="B109" s="51"/>
      <c r="C109" s="52"/>
      <c r="D109" s="43"/>
    </row>
    <row r="110" spans="2:4" ht="12.75">
      <c r="B110" s="51"/>
      <c r="C110" s="52"/>
      <c r="D110" s="43"/>
    </row>
    <row r="111" spans="2:4" ht="12.75">
      <c r="B111" s="51"/>
      <c r="C111" s="52"/>
      <c r="D111" s="43"/>
    </row>
    <row r="112" spans="2:4" ht="12.75">
      <c r="B112" s="51"/>
      <c r="C112" s="52"/>
      <c r="D112" s="43"/>
    </row>
    <row r="113" spans="2:4" ht="12.75">
      <c r="B113" s="51"/>
      <c r="C113" s="52"/>
      <c r="D113" s="43"/>
    </row>
    <row r="114" spans="2:4" ht="12.75">
      <c r="B114" s="51"/>
      <c r="C114" s="52"/>
      <c r="D114" s="43"/>
    </row>
    <row r="115" spans="2:4" ht="12.75">
      <c r="B115" s="51"/>
      <c r="C115" s="52"/>
      <c r="D115" s="43"/>
    </row>
    <row r="116" spans="2:4" ht="12.75">
      <c r="B116" s="51"/>
      <c r="C116" s="52"/>
      <c r="D116" s="43"/>
    </row>
    <row r="117" spans="2:4" ht="12.75">
      <c r="B117" s="51"/>
      <c r="C117" s="52"/>
      <c r="D117" s="43"/>
    </row>
    <row r="118" spans="2:4" ht="12.75">
      <c r="B118" s="51"/>
      <c r="C118" s="52"/>
      <c r="D118" s="43"/>
    </row>
    <row r="119" spans="2:4" ht="12.75">
      <c r="B119" s="51"/>
      <c r="C119" s="52"/>
      <c r="D119" s="43"/>
    </row>
    <row r="120" spans="2:4" ht="12.75">
      <c r="B120" s="51"/>
      <c r="C120" s="52"/>
      <c r="D120" s="43"/>
    </row>
    <row r="121" spans="2:4" ht="12.75">
      <c r="B121" s="51"/>
      <c r="C121" s="52"/>
      <c r="D121" s="43"/>
    </row>
    <row r="122" spans="2:4" ht="12.75">
      <c r="B122" s="51"/>
      <c r="C122" s="52"/>
      <c r="D122" s="43"/>
    </row>
    <row r="123" spans="2:4" ht="12.75">
      <c r="B123" s="51"/>
      <c r="C123" s="52"/>
      <c r="D123" s="43"/>
    </row>
    <row r="124" spans="2:4" ht="12.75">
      <c r="B124" s="51"/>
      <c r="C124" s="52"/>
      <c r="D124" s="43"/>
    </row>
    <row r="125" spans="2:4" ht="12.75">
      <c r="B125" s="51"/>
      <c r="C125" s="52"/>
      <c r="D125" s="43"/>
    </row>
    <row r="126" spans="2:4" ht="12.75">
      <c r="B126" s="51"/>
      <c r="C126" s="52"/>
      <c r="D126" s="43"/>
    </row>
    <row r="127" spans="2:4" ht="12.75">
      <c r="B127" s="51"/>
      <c r="C127" s="52"/>
      <c r="D127" s="43"/>
    </row>
    <row r="128" spans="2:4" ht="12.75">
      <c r="B128" s="51"/>
      <c r="C128" s="52"/>
      <c r="D128" s="43"/>
    </row>
    <row r="129" spans="2:4" ht="12.75">
      <c r="B129" s="51"/>
      <c r="C129" s="52"/>
      <c r="D129" s="43"/>
    </row>
    <row r="130" spans="2:4" ht="12.75">
      <c r="B130" s="51"/>
      <c r="C130" s="52"/>
      <c r="D130" s="43"/>
    </row>
    <row r="131" spans="2:4" ht="12.75">
      <c r="B131" s="51"/>
      <c r="C131" s="52"/>
      <c r="D131" s="43"/>
    </row>
    <row r="132" spans="2:4" ht="12.75">
      <c r="B132" s="51"/>
      <c r="C132" s="52"/>
      <c r="D132" s="43"/>
    </row>
    <row r="133" spans="2:4" ht="12.75">
      <c r="B133" s="51"/>
      <c r="C133" s="52"/>
      <c r="D133" s="43"/>
    </row>
    <row r="134" spans="2:4" ht="12.75">
      <c r="B134" s="51"/>
      <c r="C134" s="52"/>
      <c r="D134" s="43"/>
    </row>
    <row r="135" spans="2:4" ht="12.75">
      <c r="B135" s="51"/>
      <c r="C135" s="52"/>
      <c r="D135" s="43"/>
    </row>
    <row r="136" spans="2:4" ht="12.75">
      <c r="B136" s="51"/>
      <c r="C136" s="52"/>
      <c r="D136" s="43"/>
    </row>
    <row r="137" spans="2:4" ht="12.75">
      <c r="B137" s="51"/>
      <c r="C137" s="52"/>
      <c r="D137" s="43"/>
    </row>
    <row r="138" spans="2:4" ht="12.75">
      <c r="B138" s="51"/>
      <c r="C138" s="52"/>
      <c r="D138" s="43"/>
    </row>
    <row r="139" spans="2:4" ht="12.75">
      <c r="B139" s="51"/>
      <c r="C139" s="52"/>
      <c r="D139" s="43"/>
    </row>
    <row r="140" spans="2:4" ht="12.75">
      <c r="B140" s="51"/>
      <c r="C140" s="52"/>
      <c r="D140" s="43"/>
    </row>
    <row r="141" spans="2:4" ht="12.75">
      <c r="B141" s="51"/>
      <c r="C141" s="52"/>
      <c r="D141" s="43"/>
    </row>
    <row r="142" spans="2:4" ht="12.75">
      <c r="B142" s="51"/>
      <c r="C142" s="52"/>
      <c r="D142" s="43"/>
    </row>
    <row r="143" spans="2:4" ht="12.75">
      <c r="B143" s="51"/>
      <c r="C143" s="52"/>
      <c r="D143" s="43"/>
    </row>
    <row r="144" spans="2:4" ht="12.75">
      <c r="B144" s="51"/>
      <c r="C144" s="52"/>
      <c r="D144" s="43"/>
    </row>
    <row r="145" spans="2:4" ht="12.75">
      <c r="B145" s="51"/>
      <c r="C145" s="52"/>
      <c r="D145" s="43"/>
    </row>
    <row r="146" spans="2:4" ht="12.75">
      <c r="B146" s="51"/>
      <c r="C146" s="52"/>
      <c r="D146" s="43"/>
    </row>
    <row r="147" spans="2:4" ht="12.75">
      <c r="B147" s="51"/>
      <c r="C147" s="52"/>
      <c r="D147" s="43"/>
    </row>
    <row r="148" spans="2:4" ht="12.75">
      <c r="B148" s="51"/>
      <c r="C148" s="52"/>
      <c r="D148" s="43"/>
    </row>
    <row r="149" spans="2:4" ht="12.75">
      <c r="B149" s="51"/>
      <c r="C149" s="52"/>
      <c r="D149" s="43"/>
    </row>
    <row r="150" spans="2:4" ht="12.75">
      <c r="B150" s="51"/>
      <c r="C150" s="52"/>
      <c r="D150" s="43"/>
    </row>
    <row r="151" spans="2:4" ht="12.75">
      <c r="B151" s="51"/>
      <c r="C151" s="52"/>
      <c r="D151" s="43"/>
    </row>
    <row r="152" spans="2:4" ht="12.75">
      <c r="B152" s="51"/>
      <c r="C152" s="52"/>
      <c r="D152" s="43"/>
    </row>
    <row r="153" spans="2:4" ht="12.75">
      <c r="B153" s="51"/>
      <c r="C153" s="52"/>
      <c r="D153" s="43"/>
    </row>
    <row r="154" spans="2:4" ht="12.75">
      <c r="B154" s="51"/>
      <c r="C154" s="52"/>
      <c r="D154" s="43"/>
    </row>
    <row r="155" spans="2:4" ht="12.75">
      <c r="B155" s="51"/>
      <c r="C155" s="52"/>
      <c r="D155" s="43"/>
    </row>
    <row r="156" spans="2:4" ht="12.75">
      <c r="B156" s="51"/>
      <c r="C156" s="52"/>
      <c r="D156" s="43"/>
    </row>
    <row r="157" spans="2:4" ht="12.75">
      <c r="B157" s="51"/>
      <c r="C157" s="52"/>
      <c r="D157" s="43"/>
    </row>
    <row r="158" spans="2:4" ht="12.75">
      <c r="B158" s="51"/>
      <c r="C158" s="52"/>
      <c r="D158" s="43"/>
    </row>
    <row r="159" spans="2:4" ht="12.75">
      <c r="B159" s="51"/>
      <c r="C159" s="52"/>
      <c r="D159" s="43"/>
    </row>
    <row r="160" spans="2:4" ht="12.75">
      <c r="B160" s="51"/>
      <c r="C160" s="52"/>
      <c r="D160" s="43"/>
    </row>
    <row r="161" spans="2:4" ht="12.75">
      <c r="B161" s="51"/>
      <c r="C161" s="52"/>
      <c r="D161" s="43"/>
    </row>
    <row r="162" spans="2:4" ht="12.75">
      <c r="B162" s="51"/>
      <c r="C162" s="52"/>
      <c r="D162" s="43"/>
    </row>
    <row r="163" spans="2:4" ht="12.75">
      <c r="B163" s="51"/>
      <c r="C163" s="52"/>
      <c r="D163" s="43"/>
    </row>
    <row r="164" spans="2:4" ht="12.75">
      <c r="B164" s="51"/>
      <c r="C164" s="52"/>
      <c r="D164" s="43"/>
    </row>
    <row r="165" spans="2:4" ht="12.75">
      <c r="B165" s="51"/>
      <c r="C165" s="52"/>
      <c r="D165" s="43"/>
    </row>
    <row r="166" spans="2:4" ht="12.75">
      <c r="B166" s="51"/>
      <c r="C166" s="52"/>
      <c r="D166" s="43"/>
    </row>
    <row r="167" spans="2:4" ht="12.75">
      <c r="B167" s="51"/>
      <c r="C167" s="52"/>
      <c r="D167" s="43"/>
    </row>
    <row r="168" spans="2:4" ht="12.75">
      <c r="B168" s="51"/>
      <c r="C168" s="52"/>
      <c r="D168" s="43"/>
    </row>
    <row r="169" spans="2:4" ht="12.75">
      <c r="B169" s="51"/>
      <c r="C169" s="52"/>
      <c r="D169" s="43"/>
    </row>
    <row r="170" spans="2:4" ht="12.75">
      <c r="B170" s="51"/>
      <c r="C170" s="52"/>
      <c r="D170" s="43"/>
    </row>
    <row r="171" spans="2:4" ht="12.75">
      <c r="B171" s="51"/>
      <c r="C171" s="52"/>
      <c r="D171" s="43"/>
    </row>
    <row r="172" spans="2:4" ht="12.75">
      <c r="B172" s="51"/>
      <c r="C172" s="52"/>
      <c r="D172" s="43"/>
    </row>
    <row r="173" spans="2:4" ht="12.75">
      <c r="B173" s="51"/>
      <c r="C173" s="52"/>
      <c r="D173" s="43"/>
    </row>
    <row r="174" spans="2:4" ht="12.75">
      <c r="B174" s="51"/>
      <c r="C174" s="52"/>
      <c r="D174" s="43"/>
    </row>
    <row r="175" spans="2:4" ht="12.75">
      <c r="B175" s="51"/>
      <c r="C175" s="52"/>
      <c r="D175" s="43"/>
    </row>
    <row r="176" spans="2:4" ht="12.75">
      <c r="B176" s="51"/>
      <c r="C176" s="52"/>
      <c r="D176" s="43"/>
    </row>
    <row r="177" spans="2:4" ht="12.75">
      <c r="B177" s="51"/>
      <c r="C177" s="52"/>
      <c r="D177" s="43"/>
    </row>
    <row r="178" spans="2:4" ht="12.75">
      <c r="B178" s="51"/>
      <c r="C178" s="52"/>
      <c r="D178" s="43"/>
    </row>
    <row r="179" spans="2:4" ht="12.75">
      <c r="B179" s="51"/>
      <c r="C179" s="52"/>
      <c r="D179" s="43"/>
    </row>
    <row r="180" spans="2:4" ht="12.75">
      <c r="B180" s="51"/>
      <c r="C180" s="52"/>
      <c r="D180" s="43"/>
    </row>
    <row r="181" spans="2:4" ht="12.75">
      <c r="B181" s="51"/>
      <c r="C181" s="52"/>
      <c r="D181" s="43"/>
    </row>
    <row r="182" spans="2:4" ht="12.75">
      <c r="B182" s="51"/>
      <c r="C182" s="52"/>
      <c r="D182" s="43"/>
    </row>
    <row r="183" spans="2:4" ht="12.75">
      <c r="B183" s="51"/>
      <c r="C183" s="52"/>
      <c r="D183" s="43"/>
    </row>
    <row r="184" spans="2:4" ht="12.75">
      <c r="B184" s="51"/>
      <c r="C184" s="52"/>
      <c r="D184" s="43"/>
    </row>
    <row r="185" spans="2:4" ht="12.75">
      <c r="B185" s="51"/>
      <c r="C185" s="52"/>
      <c r="D185" s="43"/>
    </row>
    <row r="186" spans="2:4" ht="12.75">
      <c r="B186" s="51"/>
      <c r="C186" s="52"/>
      <c r="D186" s="43"/>
    </row>
    <row r="187" spans="2:4" ht="12.75">
      <c r="B187" s="51"/>
      <c r="C187" s="52"/>
      <c r="D187" s="43"/>
    </row>
    <row r="188" spans="2:4" ht="12.75">
      <c r="B188" s="51"/>
      <c r="C188" s="52"/>
      <c r="D188" s="43"/>
    </row>
    <row r="189" spans="2:4" ht="12.75">
      <c r="B189" s="51"/>
      <c r="C189" s="52"/>
      <c r="D189" s="43"/>
    </row>
    <row r="190" spans="2:4" ht="12.75">
      <c r="B190" s="51"/>
      <c r="C190" s="52"/>
      <c r="D190" s="43"/>
    </row>
    <row r="191" spans="2:4" ht="12.75">
      <c r="B191" s="51"/>
      <c r="C191" s="52"/>
      <c r="D191" s="43"/>
    </row>
    <row r="192" spans="2:4" ht="12.75">
      <c r="B192" s="51"/>
      <c r="C192" s="52"/>
      <c r="D192" s="43"/>
    </row>
    <row r="193" spans="2:4" ht="12.75">
      <c r="B193" s="51"/>
      <c r="C193" s="52"/>
      <c r="D193" s="43"/>
    </row>
    <row r="194" spans="2:4" ht="12.75">
      <c r="B194" s="51"/>
      <c r="C194" s="52"/>
      <c r="D194" s="43"/>
    </row>
    <row r="195" spans="2:4" ht="12.75">
      <c r="B195" s="51"/>
      <c r="C195" s="52"/>
      <c r="D195" s="43"/>
    </row>
    <row r="196" spans="2:4" ht="12.75">
      <c r="B196" s="51"/>
      <c r="C196" s="52"/>
      <c r="D196" s="43"/>
    </row>
    <row r="197" spans="2:4" ht="12.75">
      <c r="B197" s="51"/>
      <c r="C197" s="52"/>
      <c r="D197" s="43"/>
    </row>
    <row r="198" spans="2:4" ht="12.75">
      <c r="B198" s="51"/>
      <c r="C198" s="52"/>
      <c r="D198" s="43"/>
    </row>
    <row r="199" spans="2:4" ht="12.75">
      <c r="B199" s="51"/>
      <c r="C199" s="52"/>
      <c r="D199" s="43"/>
    </row>
    <row r="200" spans="2:4" ht="12.75">
      <c r="B200" s="51"/>
      <c r="C200" s="52"/>
      <c r="D200" s="43"/>
    </row>
    <row r="201" spans="2:4" ht="12.75">
      <c r="B201" s="51"/>
      <c r="C201" s="52"/>
      <c r="D201" s="43"/>
    </row>
    <row r="202" spans="2:4" ht="12.75">
      <c r="B202" s="51"/>
      <c r="C202" s="52"/>
      <c r="D202" s="43"/>
    </row>
    <row r="203" spans="2:4" ht="12.75">
      <c r="B203" s="51"/>
      <c r="C203" s="52"/>
      <c r="D203" s="43"/>
    </row>
    <row r="204" spans="2:4" ht="12.75">
      <c r="B204" s="51"/>
      <c r="C204" s="52"/>
      <c r="D204" s="43"/>
    </row>
    <row r="205" spans="2:4" ht="12.75">
      <c r="B205" s="51"/>
      <c r="C205" s="52"/>
      <c r="D205" s="43"/>
    </row>
    <row r="206" spans="2:4" ht="12.75">
      <c r="B206" s="51"/>
      <c r="C206" s="52"/>
      <c r="D206" s="43"/>
    </row>
    <row r="207" spans="2:4" ht="12.75">
      <c r="B207" s="51"/>
      <c r="C207" s="52"/>
      <c r="D207" s="43"/>
    </row>
    <row r="208" spans="2:4" ht="12.75">
      <c r="B208" s="51"/>
      <c r="C208" s="52"/>
      <c r="D208" s="43"/>
    </row>
    <row r="209" spans="2:4" ht="12.75">
      <c r="B209" s="51"/>
      <c r="C209" s="52"/>
      <c r="D209" s="43"/>
    </row>
    <row r="210" spans="2:4" ht="12.75">
      <c r="B210" s="51"/>
      <c r="C210" s="52"/>
      <c r="D210" s="43"/>
    </row>
    <row r="211" spans="2:4" ht="12.75">
      <c r="B211" s="51"/>
      <c r="C211" s="52"/>
      <c r="D211" s="43"/>
    </row>
    <row r="212" spans="2:4" ht="12.75">
      <c r="B212" s="51"/>
      <c r="C212" s="52"/>
      <c r="D212" s="43"/>
    </row>
    <row r="213" spans="2:4" ht="12.75">
      <c r="B213" s="51"/>
      <c r="C213" s="52"/>
      <c r="D213" s="43"/>
    </row>
    <row r="214" spans="2:4" ht="12.75">
      <c r="B214" s="51"/>
      <c r="C214" s="52"/>
      <c r="D214" s="43"/>
    </row>
    <row r="215" spans="2:4" ht="12.75">
      <c r="B215" s="51"/>
      <c r="C215" s="52"/>
      <c r="D215" s="43"/>
    </row>
    <row r="216" spans="2:4" ht="12.75">
      <c r="B216" s="51"/>
      <c r="C216" s="52"/>
      <c r="D216" s="43"/>
    </row>
    <row r="217" spans="2:4" ht="12.75">
      <c r="B217" s="51"/>
      <c r="C217" s="52"/>
      <c r="D217" s="43"/>
    </row>
    <row r="218" spans="2:4" ht="12.75">
      <c r="B218" s="51"/>
      <c r="C218" s="52"/>
      <c r="D218" s="43"/>
    </row>
    <row r="219" spans="2:4" ht="12.75">
      <c r="B219" s="51"/>
      <c r="C219" s="52"/>
      <c r="D219" s="43"/>
    </row>
  </sheetData>
  <sheetProtection password="CC6D" sheet="1" objects="1" scenarios="1"/>
  <mergeCells count="15">
    <mergeCell ref="B2:D2"/>
    <mergeCell ref="B3:D4"/>
    <mergeCell ref="B15:D15"/>
    <mergeCell ref="B5:D5"/>
    <mergeCell ref="B14:C14"/>
    <mergeCell ref="B34:D34"/>
    <mergeCell ref="B39:D39"/>
    <mergeCell ref="B38:C38"/>
    <mergeCell ref="B40:C40"/>
    <mergeCell ref="B16:D16"/>
    <mergeCell ref="B26:D26"/>
    <mergeCell ref="B27:D27"/>
    <mergeCell ref="B33:D33"/>
    <mergeCell ref="B32:C32"/>
    <mergeCell ref="B25:C25"/>
  </mergeCells>
  <printOptions/>
  <pageMargins left="0.7086614173228347" right="0.7480314960629921" top="0.6692913385826772" bottom="0.6299212598425197" header="0.31496062992125984" footer="0.5118110236220472"/>
  <pageSetup blackAndWhite="1" fitToHeight="1" fitToWidth="1" horizontalDpi="300" verticalDpi="300"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217"/>
  <sheetViews>
    <sheetView showRowColHeaders="0" zoomScalePageLayoutView="0" workbookViewId="0" topLeftCell="A1">
      <selection activeCell="B47" sqref="B47"/>
    </sheetView>
  </sheetViews>
  <sheetFormatPr defaultColWidth="11.421875" defaultRowHeight="12.75"/>
  <cols>
    <col min="1" max="1" width="0.85546875" style="43" customWidth="1"/>
    <col min="2" max="2" width="59.140625" style="43" customWidth="1"/>
    <col min="3" max="3" width="11.421875" style="51" customWidth="1"/>
    <col min="4" max="4" width="17.28125" style="52" customWidth="1"/>
    <col min="5" max="5" width="0.85546875" style="42" customWidth="1"/>
    <col min="6" max="6" width="9.140625" style="42" hidden="1" customWidth="1"/>
    <col min="7" max="7" width="0.13671875" style="43" hidden="1" customWidth="1"/>
    <col min="8" max="16384" width="11.421875" style="43" customWidth="1"/>
  </cols>
  <sheetData>
    <row r="1" spans="1:5" ht="18.75" customHeight="1">
      <c r="A1" s="38"/>
      <c r="B1" s="38"/>
      <c r="C1" s="39"/>
      <c r="D1" s="40"/>
      <c r="E1" s="41"/>
    </row>
    <row r="2" spans="1:5" ht="18">
      <c r="A2" s="38"/>
      <c r="B2" s="623" t="s">
        <v>103</v>
      </c>
      <c r="C2" s="623"/>
      <c r="D2" s="623"/>
      <c r="E2" s="41"/>
    </row>
    <row r="3" spans="1:5" ht="6.75" customHeight="1">
      <c r="A3" s="38"/>
      <c r="B3" s="624" t="s">
        <v>49</v>
      </c>
      <c r="C3" s="624"/>
      <c r="D3" s="624"/>
      <c r="E3" s="41"/>
    </row>
    <row r="4" spans="1:5" ht="8.25" customHeight="1">
      <c r="A4" s="38"/>
      <c r="B4" s="625"/>
      <c r="C4" s="625"/>
      <c r="D4" s="625"/>
      <c r="E4" s="41"/>
    </row>
    <row r="5" spans="1:5" ht="12.75">
      <c r="A5" s="38"/>
      <c r="B5" s="626" t="s">
        <v>11</v>
      </c>
      <c r="C5" s="627"/>
      <c r="D5" s="628"/>
      <c r="E5" s="41"/>
    </row>
    <row r="6" spans="1:5" ht="12.75">
      <c r="A6" s="38"/>
      <c r="B6" s="44" t="s">
        <v>0</v>
      </c>
      <c r="C6" s="45" t="s">
        <v>1</v>
      </c>
      <c r="D6" s="46">
        <v>0.2</v>
      </c>
      <c r="E6" s="41"/>
    </row>
    <row r="7" spans="1:5" ht="12.75">
      <c r="A7" s="38"/>
      <c r="B7" s="44" t="s">
        <v>2</v>
      </c>
      <c r="C7" s="45" t="s">
        <v>3</v>
      </c>
      <c r="D7" s="46">
        <v>0.08</v>
      </c>
      <c r="E7" s="41"/>
    </row>
    <row r="8" spans="1:5" ht="12.75">
      <c r="A8" s="38"/>
      <c r="B8" s="44" t="s">
        <v>4</v>
      </c>
      <c r="C8" s="45" t="s">
        <v>5</v>
      </c>
      <c r="D8" s="46">
        <v>0.025</v>
      </c>
      <c r="E8" s="41"/>
    </row>
    <row r="9" spans="1:5" ht="12.75">
      <c r="A9" s="38"/>
      <c r="B9" s="44" t="s">
        <v>68</v>
      </c>
      <c r="C9" s="45" t="s">
        <v>6</v>
      </c>
      <c r="D9" s="46">
        <v>0.015</v>
      </c>
      <c r="E9" s="47"/>
    </row>
    <row r="10" spans="1:5" ht="12.75">
      <c r="A10" s="38"/>
      <c r="B10" s="44" t="s">
        <v>69</v>
      </c>
      <c r="C10" s="45" t="s">
        <v>8</v>
      </c>
      <c r="D10" s="46">
        <v>0.01</v>
      </c>
      <c r="E10" s="41"/>
    </row>
    <row r="11" spans="1:5" ht="12.75">
      <c r="A11" s="38"/>
      <c r="B11" s="44" t="s">
        <v>7</v>
      </c>
      <c r="C11" s="45" t="s">
        <v>9</v>
      </c>
      <c r="D11" s="46">
        <v>0.006</v>
      </c>
      <c r="E11" s="41"/>
    </row>
    <row r="12" spans="1:5" ht="12.75">
      <c r="A12" s="38"/>
      <c r="B12" s="44" t="s">
        <v>34</v>
      </c>
      <c r="C12" s="45" t="s">
        <v>10</v>
      </c>
      <c r="D12" s="46">
        <v>0.002</v>
      </c>
      <c r="E12" s="41"/>
    </row>
    <row r="13" spans="1:5" ht="12.75">
      <c r="A13" s="38"/>
      <c r="B13" s="44" t="s">
        <v>41</v>
      </c>
      <c r="C13" s="45" t="s">
        <v>59</v>
      </c>
      <c r="D13" s="46">
        <f>Preços!J13</f>
        <v>0.03</v>
      </c>
      <c r="E13" s="41"/>
    </row>
    <row r="14" spans="1:5" ht="12.75">
      <c r="A14" s="38"/>
      <c r="B14" s="629" t="s">
        <v>24</v>
      </c>
      <c r="C14" s="630"/>
      <c r="D14" s="48">
        <f>SUM(D6:D13)</f>
        <v>0.3680000000000001</v>
      </c>
      <c r="E14" s="41"/>
    </row>
    <row r="15" spans="1:5" ht="8.25" customHeight="1">
      <c r="A15" s="38"/>
      <c r="B15" s="631"/>
      <c r="C15" s="631"/>
      <c r="D15" s="631"/>
      <c r="E15" s="41"/>
    </row>
    <row r="16" spans="1:5" ht="12.75" customHeight="1">
      <c r="A16" s="38"/>
      <c r="B16" s="626" t="s">
        <v>21</v>
      </c>
      <c r="C16" s="627"/>
      <c r="D16" s="628"/>
      <c r="E16" s="41"/>
    </row>
    <row r="17" spans="1:5" ht="12.75">
      <c r="A17" s="38"/>
      <c r="B17" s="44" t="s">
        <v>15</v>
      </c>
      <c r="C17" s="45" t="s">
        <v>16</v>
      </c>
      <c r="D17" s="46">
        <v>0.0185</v>
      </c>
      <c r="E17" s="41"/>
    </row>
    <row r="18" spans="1:5" ht="12.75">
      <c r="A18" s="38"/>
      <c r="B18" s="44" t="s">
        <v>17</v>
      </c>
      <c r="C18" s="45" t="s">
        <v>18</v>
      </c>
      <c r="D18" s="46">
        <v>0.0009</v>
      </c>
      <c r="E18" s="41"/>
    </row>
    <row r="19" spans="1:5" ht="12.75">
      <c r="A19" s="38"/>
      <c r="B19" s="44" t="s">
        <v>19</v>
      </c>
      <c r="C19" s="45" t="s">
        <v>20</v>
      </c>
      <c r="D19" s="46">
        <v>0.0833</v>
      </c>
      <c r="E19" s="41"/>
    </row>
    <row r="20" spans="1:5" ht="12.75">
      <c r="A20" s="38"/>
      <c r="B20" s="44" t="str">
        <f>IF(Preços!R6&lt;3,"","Aviso Prévio Trabalhado")</f>
        <v>Aviso Prévio Trabalhado</v>
      </c>
      <c r="C20" s="45" t="str">
        <f>IF(B20="","","B6")</f>
        <v>B6</v>
      </c>
      <c r="D20" s="46">
        <f>IF(C20="","",(7/30)/Preços!R6)</f>
        <v>0.019444444444444445</v>
      </c>
      <c r="E20" s="41"/>
    </row>
    <row r="21" spans="1:5" ht="12.75">
      <c r="A21" s="38"/>
      <c r="B21" s="44" t="str">
        <f>IF(Preços!R6&lt;12,"","Férias")</f>
        <v>Férias</v>
      </c>
      <c r="C21" s="45" t="str">
        <f>IF(B21="","","B7")</f>
        <v>B7</v>
      </c>
      <c r="D21" s="46">
        <f>IF(C21="","",0.0833)</f>
        <v>0.0833</v>
      </c>
      <c r="E21" s="41"/>
    </row>
    <row r="22" spans="1:5" ht="12.75">
      <c r="A22" s="38"/>
      <c r="B22" s="44" t="str">
        <f>IF(Preços!R6&lt;12,"","1/3 Férias")</f>
        <v>1/3 Férias</v>
      </c>
      <c r="C22" s="45" t="str">
        <f>IF(B22="","","B8")</f>
        <v>B8</v>
      </c>
      <c r="D22" s="46">
        <f>IF(C22="","",0.0278)</f>
        <v>0.0278</v>
      </c>
      <c r="E22" s="41"/>
    </row>
    <row r="23" spans="1:5" ht="12.75">
      <c r="A23" s="38"/>
      <c r="B23" s="629" t="s">
        <v>23</v>
      </c>
      <c r="C23" s="630"/>
      <c r="D23" s="48">
        <f>SUM(D17:D22)</f>
        <v>0.23324444444444442</v>
      </c>
      <c r="E23" s="41"/>
    </row>
    <row r="24" spans="1:5" ht="8.25" customHeight="1">
      <c r="A24" s="38"/>
      <c r="B24" s="631"/>
      <c r="C24" s="631"/>
      <c r="D24" s="631"/>
      <c r="E24" s="41"/>
    </row>
    <row r="25" spans="1:5" ht="12.75" customHeight="1">
      <c r="A25" s="38"/>
      <c r="B25" s="626" t="s">
        <v>22</v>
      </c>
      <c r="C25" s="627"/>
      <c r="D25" s="628"/>
      <c r="E25" s="41"/>
    </row>
    <row r="26" spans="1:5" ht="12.75">
      <c r="A26" s="38"/>
      <c r="B26" s="44" t="s">
        <v>71</v>
      </c>
      <c r="C26" s="45" t="s">
        <v>43</v>
      </c>
      <c r="D26" s="46">
        <f>50%*(D7+(D7*D23))</f>
        <v>0.04932977777777778</v>
      </c>
      <c r="E26" s="41"/>
    </row>
    <row r="27" spans="1:5" ht="12.75">
      <c r="A27" s="38"/>
      <c r="B27" s="44" t="s">
        <v>61</v>
      </c>
      <c r="C27" s="45" t="s">
        <v>72</v>
      </c>
      <c r="D27" s="46">
        <f>IF(Preços!R6&lt;3,0,(1/Preços!R6)*5%)</f>
        <v>0.004166666666666667</v>
      </c>
      <c r="E27" s="41"/>
    </row>
    <row r="28" spans="1:5" ht="12.75">
      <c r="A28" s="38"/>
      <c r="B28" s="44" t="s">
        <v>62</v>
      </c>
      <c r="C28" s="45" t="s">
        <v>60</v>
      </c>
      <c r="D28" s="46">
        <f>IF(Preços!R6&lt;3,0,(1/12)*1%)</f>
        <v>0.0008333333333333333</v>
      </c>
      <c r="E28" s="41"/>
    </row>
    <row r="29" spans="1:5" ht="12.75">
      <c r="A29" s="38"/>
      <c r="B29" s="44">
        <f>IF(B21="","Férias Indenizadas","")</f>
      </c>
      <c r="C29" s="45">
        <f>IF(B21="","C4","")</f>
      </c>
      <c r="D29" s="46">
        <f>IF(B21&lt;&gt;"","",0.1111)</f>
      </c>
      <c r="E29" s="41"/>
    </row>
    <row r="30" spans="1:5" ht="12.75">
      <c r="A30" s="38"/>
      <c r="B30" s="629" t="s">
        <v>25</v>
      </c>
      <c r="C30" s="630"/>
      <c r="D30" s="48">
        <f>SUM(D26:D29)</f>
        <v>0.054329777777777775</v>
      </c>
      <c r="E30" s="41"/>
    </row>
    <row r="31" spans="1:5" ht="8.25" customHeight="1">
      <c r="A31" s="38"/>
      <c r="B31" s="631"/>
      <c r="C31" s="631"/>
      <c r="D31" s="631"/>
      <c r="E31" s="41"/>
    </row>
    <row r="32" spans="1:5" ht="12.75">
      <c r="A32" s="38"/>
      <c r="B32" s="626" t="s">
        <v>70</v>
      </c>
      <c r="C32" s="627"/>
      <c r="D32" s="628"/>
      <c r="E32" s="41"/>
    </row>
    <row r="33" spans="1:5" ht="12.75" customHeight="1">
      <c r="A33" s="38"/>
      <c r="B33" s="44" t="s">
        <v>26</v>
      </c>
      <c r="C33" s="45" t="s">
        <v>44</v>
      </c>
      <c r="D33" s="46">
        <f>D14*D23</f>
        <v>0.08583395555555558</v>
      </c>
      <c r="E33" s="41"/>
    </row>
    <row r="34" spans="1:5" ht="12.75">
      <c r="A34" s="38"/>
      <c r="B34" s="50" t="s">
        <v>64</v>
      </c>
      <c r="C34" s="45" t="s">
        <v>63</v>
      </c>
      <c r="D34" s="46">
        <f>D7*D27</f>
        <v>0.0003333333333333333</v>
      </c>
      <c r="E34" s="41"/>
    </row>
    <row r="35" spans="1:5" ht="12.75">
      <c r="A35" s="38"/>
      <c r="B35" s="50">
        <f>IF(B29="","","Incidência de FGTS sobre Férias Indenizadas")</f>
      </c>
      <c r="C35" s="45">
        <f>IF(B35="","","D3")</f>
      </c>
      <c r="D35" s="46">
        <f>IF(C35="","",(D7*D29))</f>
      </c>
      <c r="E35" s="41"/>
    </row>
    <row r="36" spans="1:5" ht="12.75">
      <c r="A36" s="38"/>
      <c r="B36" s="629" t="s">
        <v>27</v>
      </c>
      <c r="C36" s="630"/>
      <c r="D36" s="48">
        <f>SUM(D33:D35)</f>
        <v>0.08616728888888892</v>
      </c>
      <c r="E36" s="41"/>
    </row>
    <row r="37" spans="1:5" ht="12.75">
      <c r="A37" s="38"/>
      <c r="B37" s="632"/>
      <c r="C37" s="632"/>
      <c r="D37" s="632"/>
      <c r="E37" s="41"/>
    </row>
    <row r="38" spans="1:5" ht="12.75">
      <c r="A38" s="38"/>
      <c r="B38" s="633" t="s">
        <v>28</v>
      </c>
      <c r="C38" s="633"/>
      <c r="D38" s="48">
        <f>D14+D23+D30+D36</f>
        <v>0.7417415111111112</v>
      </c>
      <c r="E38" s="41"/>
    </row>
    <row r="39" spans="1:5" ht="8.25" customHeight="1">
      <c r="A39" s="38"/>
      <c r="B39" s="39"/>
      <c r="C39" s="40"/>
      <c r="D39" s="38"/>
      <c r="E39" s="41"/>
    </row>
    <row r="40" ht="16.5" customHeight="1"/>
    <row r="41" ht="8.25" customHeight="1"/>
    <row r="42" ht="15.75" customHeight="1"/>
    <row r="43" ht="8.25" customHeight="1"/>
    <row r="44" ht="15.75" customHeight="1"/>
    <row r="45" ht="8.25" customHeight="1"/>
    <row r="46" ht="15.75" customHeight="1"/>
    <row r="47" ht="8.25" customHeight="1"/>
    <row r="48" ht="12.75" customHeight="1"/>
    <row r="49" ht="8.25" customHeight="1"/>
    <row r="50" ht="15.75" customHeight="1"/>
    <row r="51" ht="12.75" customHeight="1"/>
    <row r="56" ht="6.75" customHeight="1"/>
    <row r="58" ht="12.75">
      <c r="F58" s="53"/>
    </row>
    <row r="59" s="51" customFormat="1" ht="14.25" customHeight="1">
      <c r="F59" s="53" t="e">
        <f>SUM(#REF!,#REF!)</f>
        <v>#REF!</v>
      </c>
    </row>
    <row r="60" spans="1:6" ht="12.75">
      <c r="A60" s="51"/>
      <c r="B60" s="51"/>
      <c r="C60" s="52"/>
      <c r="D60" s="51"/>
      <c r="E60" s="51"/>
      <c r="F60" s="51"/>
    </row>
    <row r="61" spans="1:6" ht="6" customHeight="1">
      <c r="A61" s="51"/>
      <c r="B61" s="51"/>
      <c r="C61" s="52"/>
      <c r="D61" s="43"/>
      <c r="E61" s="51"/>
      <c r="F61" s="51"/>
    </row>
    <row r="62" spans="2:4" ht="12.75">
      <c r="B62" s="51"/>
      <c r="C62" s="52"/>
      <c r="D62" s="43"/>
    </row>
    <row r="63" spans="2:4" ht="12.75">
      <c r="B63" s="51"/>
      <c r="C63" s="52"/>
      <c r="D63" s="43"/>
    </row>
    <row r="64" spans="2:4" ht="12.75">
      <c r="B64" s="51"/>
      <c r="C64" s="52"/>
      <c r="D64" s="43"/>
    </row>
    <row r="65" spans="2:4" ht="12.75">
      <c r="B65" s="51"/>
      <c r="C65" s="52"/>
      <c r="D65" s="43"/>
    </row>
    <row r="66" spans="2:4" ht="12.75">
      <c r="B66" s="51"/>
      <c r="C66" s="52"/>
      <c r="D66" s="43"/>
    </row>
    <row r="67" spans="2:4" ht="12.75">
      <c r="B67" s="51"/>
      <c r="C67" s="52"/>
      <c r="D67" s="43"/>
    </row>
    <row r="68" spans="2:4" ht="12.75">
      <c r="B68" s="51"/>
      <c r="C68" s="52"/>
      <c r="D68" s="43"/>
    </row>
    <row r="69" spans="2:4" ht="12.75">
      <c r="B69" s="51"/>
      <c r="C69" s="52"/>
      <c r="D69" s="43"/>
    </row>
    <row r="70" spans="2:4" ht="12.75">
      <c r="B70" s="51"/>
      <c r="C70" s="52"/>
      <c r="D70" s="43"/>
    </row>
    <row r="71" spans="2:4" ht="12.75">
      <c r="B71" s="51"/>
      <c r="C71" s="52"/>
      <c r="D71" s="43"/>
    </row>
    <row r="72" spans="2:4" ht="12.75">
      <c r="B72" s="51"/>
      <c r="C72" s="52"/>
      <c r="D72" s="43"/>
    </row>
    <row r="73" spans="2:4" ht="12.75">
      <c r="B73" s="51"/>
      <c r="C73" s="52"/>
      <c r="D73" s="43"/>
    </row>
    <row r="74" spans="2:4" ht="12.75">
      <c r="B74" s="51"/>
      <c r="C74" s="52"/>
      <c r="D74" s="43"/>
    </row>
    <row r="75" spans="2:4" ht="12.75">
      <c r="B75" s="51"/>
      <c r="C75" s="52"/>
      <c r="D75" s="43"/>
    </row>
    <row r="76" spans="2:4" ht="12.75">
      <c r="B76" s="51"/>
      <c r="C76" s="52"/>
      <c r="D76" s="43"/>
    </row>
    <row r="77" spans="2:4" ht="12.75">
      <c r="B77" s="51"/>
      <c r="C77" s="52"/>
      <c r="D77" s="43"/>
    </row>
    <row r="78" spans="2:4" ht="12.75">
      <c r="B78" s="51"/>
      <c r="C78" s="52"/>
      <c r="D78" s="43"/>
    </row>
    <row r="79" spans="2:4" ht="12.75">
      <c r="B79" s="51"/>
      <c r="C79" s="52"/>
      <c r="D79" s="43"/>
    </row>
    <row r="80" spans="2:4" ht="12.75">
      <c r="B80" s="51"/>
      <c r="C80" s="52"/>
      <c r="D80" s="43"/>
    </row>
    <row r="81" spans="2:4" ht="12.75">
      <c r="B81" s="51"/>
      <c r="C81" s="52"/>
      <c r="D81" s="43"/>
    </row>
    <row r="82" spans="2:4" ht="12.75">
      <c r="B82" s="51"/>
      <c r="C82" s="52"/>
      <c r="D82" s="43"/>
    </row>
    <row r="83" spans="2:4" ht="12.75">
      <c r="B83" s="51"/>
      <c r="C83" s="52"/>
      <c r="D83" s="43"/>
    </row>
    <row r="84" spans="2:4" ht="12.75">
      <c r="B84" s="51"/>
      <c r="C84" s="52"/>
      <c r="D84" s="43"/>
    </row>
    <row r="85" spans="2:4" ht="12.75">
      <c r="B85" s="51"/>
      <c r="C85" s="52"/>
      <c r="D85" s="43"/>
    </row>
    <row r="86" spans="2:4" ht="12.75">
      <c r="B86" s="51"/>
      <c r="C86" s="52"/>
      <c r="D86" s="43"/>
    </row>
    <row r="87" spans="2:4" ht="12.75">
      <c r="B87" s="51"/>
      <c r="C87" s="52"/>
      <c r="D87" s="43"/>
    </row>
    <row r="88" spans="2:4" ht="12.75">
      <c r="B88" s="51"/>
      <c r="C88" s="52"/>
      <c r="D88" s="43"/>
    </row>
    <row r="89" spans="2:4" ht="12.75">
      <c r="B89" s="51"/>
      <c r="C89" s="52"/>
      <c r="D89" s="43"/>
    </row>
    <row r="90" spans="2:4" ht="12.75">
      <c r="B90" s="51"/>
      <c r="C90" s="52"/>
      <c r="D90" s="43"/>
    </row>
    <row r="91" spans="2:4" ht="12.75">
      <c r="B91" s="51"/>
      <c r="C91" s="52"/>
      <c r="D91" s="43"/>
    </row>
    <row r="92" spans="2:4" ht="12.75">
      <c r="B92" s="51"/>
      <c r="C92" s="52"/>
      <c r="D92" s="43"/>
    </row>
    <row r="93" spans="2:4" ht="12.75">
      <c r="B93" s="51"/>
      <c r="C93" s="52"/>
      <c r="D93" s="43"/>
    </row>
    <row r="94" spans="2:4" ht="12.75">
      <c r="B94" s="51"/>
      <c r="C94" s="52"/>
      <c r="D94" s="43"/>
    </row>
    <row r="95" spans="2:4" ht="12.75">
      <c r="B95" s="51"/>
      <c r="C95" s="52"/>
      <c r="D95" s="43"/>
    </row>
    <row r="96" spans="2:4" ht="12.75">
      <c r="B96" s="51"/>
      <c r="C96" s="52"/>
      <c r="D96" s="43"/>
    </row>
    <row r="97" spans="2:4" ht="12.75">
      <c r="B97" s="51"/>
      <c r="C97" s="52"/>
      <c r="D97" s="43"/>
    </row>
    <row r="98" spans="2:4" ht="12.75">
      <c r="B98" s="51"/>
      <c r="C98" s="52"/>
      <c r="D98" s="43"/>
    </row>
    <row r="99" spans="2:4" ht="12.75">
      <c r="B99" s="51"/>
      <c r="C99" s="52"/>
      <c r="D99" s="43"/>
    </row>
    <row r="100" spans="2:4" ht="12.75">
      <c r="B100" s="51"/>
      <c r="C100" s="52"/>
      <c r="D100" s="43"/>
    </row>
    <row r="101" spans="2:4" ht="12.75">
      <c r="B101" s="51"/>
      <c r="C101" s="52"/>
      <c r="D101" s="43"/>
    </row>
    <row r="102" spans="2:4" ht="12.75">
      <c r="B102" s="51"/>
      <c r="C102" s="52"/>
      <c r="D102" s="43"/>
    </row>
    <row r="103" spans="2:4" ht="12.75">
      <c r="B103" s="51"/>
      <c r="C103" s="52"/>
      <c r="D103" s="43"/>
    </row>
    <row r="104" spans="2:4" ht="12.75">
      <c r="B104" s="51"/>
      <c r="C104" s="52"/>
      <c r="D104" s="43"/>
    </row>
    <row r="105" spans="2:4" ht="12.75">
      <c r="B105" s="51"/>
      <c r="C105" s="52"/>
      <c r="D105" s="43"/>
    </row>
    <row r="106" spans="2:4" ht="12.75">
      <c r="B106" s="51"/>
      <c r="C106" s="52"/>
      <c r="D106" s="43"/>
    </row>
    <row r="107" spans="2:4" ht="12.75">
      <c r="B107" s="51"/>
      <c r="C107" s="52"/>
      <c r="D107" s="43"/>
    </row>
    <row r="108" spans="2:4" ht="12.75">
      <c r="B108" s="51"/>
      <c r="C108" s="52"/>
      <c r="D108" s="43"/>
    </row>
    <row r="109" spans="2:4" ht="12.75">
      <c r="B109" s="51"/>
      <c r="C109" s="52"/>
      <c r="D109" s="43"/>
    </row>
    <row r="110" spans="2:4" ht="12.75">
      <c r="B110" s="51"/>
      <c r="C110" s="52"/>
      <c r="D110" s="43"/>
    </row>
    <row r="111" spans="2:4" ht="12.75">
      <c r="B111" s="51"/>
      <c r="C111" s="52"/>
      <c r="D111" s="43"/>
    </row>
    <row r="112" spans="2:4" ht="12.75">
      <c r="B112" s="51"/>
      <c r="C112" s="52"/>
      <c r="D112" s="43"/>
    </row>
    <row r="113" spans="2:4" ht="12.75">
      <c r="B113" s="51"/>
      <c r="C113" s="52"/>
      <c r="D113" s="43"/>
    </row>
    <row r="114" spans="2:4" ht="12.75">
      <c r="B114" s="51"/>
      <c r="C114" s="52"/>
      <c r="D114" s="43"/>
    </row>
    <row r="115" spans="2:4" ht="12.75">
      <c r="B115" s="51"/>
      <c r="C115" s="52"/>
      <c r="D115" s="43"/>
    </row>
    <row r="116" spans="2:4" ht="12.75">
      <c r="B116" s="51"/>
      <c r="C116" s="52"/>
      <c r="D116" s="43"/>
    </row>
    <row r="117" spans="2:4" ht="12.75">
      <c r="B117" s="51"/>
      <c r="C117" s="52"/>
      <c r="D117" s="43"/>
    </row>
    <row r="118" spans="2:4" ht="12.75">
      <c r="B118" s="51"/>
      <c r="C118" s="52"/>
      <c r="D118" s="43"/>
    </row>
    <row r="119" spans="2:4" ht="12.75">
      <c r="B119" s="51"/>
      <c r="C119" s="52"/>
      <c r="D119" s="43"/>
    </row>
    <row r="120" spans="2:4" ht="12.75">
      <c r="B120" s="51"/>
      <c r="C120" s="52"/>
      <c r="D120" s="43"/>
    </row>
    <row r="121" spans="2:4" ht="12.75">
      <c r="B121" s="51"/>
      <c r="C121" s="52"/>
      <c r="D121" s="43"/>
    </row>
    <row r="122" spans="2:4" ht="12.75">
      <c r="B122" s="51"/>
      <c r="C122" s="52"/>
      <c r="D122" s="43"/>
    </row>
    <row r="123" spans="2:4" ht="12.75">
      <c r="B123" s="51"/>
      <c r="C123" s="52"/>
      <c r="D123" s="43"/>
    </row>
    <row r="124" spans="2:4" ht="12.75">
      <c r="B124" s="51"/>
      <c r="C124" s="52"/>
      <c r="D124" s="43"/>
    </row>
    <row r="125" spans="2:4" ht="12.75">
      <c r="B125" s="51"/>
      <c r="C125" s="52"/>
      <c r="D125" s="43"/>
    </row>
    <row r="126" spans="2:4" ht="12.75">
      <c r="B126" s="51"/>
      <c r="C126" s="52"/>
      <c r="D126" s="43"/>
    </row>
    <row r="127" spans="2:4" ht="12.75">
      <c r="B127" s="51"/>
      <c r="C127" s="52"/>
      <c r="D127" s="43"/>
    </row>
    <row r="128" spans="2:4" ht="12.75">
      <c r="B128" s="51"/>
      <c r="C128" s="52"/>
      <c r="D128" s="43"/>
    </row>
    <row r="129" spans="2:4" ht="12.75">
      <c r="B129" s="51"/>
      <c r="C129" s="52"/>
      <c r="D129" s="43"/>
    </row>
    <row r="130" spans="2:4" ht="12.75">
      <c r="B130" s="51"/>
      <c r="C130" s="52"/>
      <c r="D130" s="43"/>
    </row>
    <row r="131" spans="2:4" ht="12.75">
      <c r="B131" s="51"/>
      <c r="C131" s="52"/>
      <c r="D131" s="43"/>
    </row>
    <row r="132" spans="2:4" ht="12.75">
      <c r="B132" s="51"/>
      <c r="C132" s="52"/>
      <c r="D132" s="43"/>
    </row>
    <row r="133" spans="2:4" ht="12.75">
      <c r="B133" s="51"/>
      <c r="C133" s="52"/>
      <c r="D133" s="43"/>
    </row>
    <row r="134" spans="2:4" ht="12.75">
      <c r="B134" s="51"/>
      <c r="C134" s="52"/>
      <c r="D134" s="43"/>
    </row>
    <row r="135" spans="2:4" ht="12.75">
      <c r="B135" s="51"/>
      <c r="C135" s="52"/>
      <c r="D135" s="43"/>
    </row>
    <row r="136" spans="2:4" ht="12.75">
      <c r="B136" s="51"/>
      <c r="C136" s="52"/>
      <c r="D136" s="43"/>
    </row>
    <row r="137" spans="2:4" ht="12.75">
      <c r="B137" s="51"/>
      <c r="C137" s="52"/>
      <c r="D137" s="43"/>
    </row>
    <row r="138" spans="2:4" ht="12.75">
      <c r="B138" s="51"/>
      <c r="C138" s="52"/>
      <c r="D138" s="43"/>
    </row>
    <row r="139" spans="2:4" ht="12.75">
      <c r="B139" s="51"/>
      <c r="C139" s="52"/>
      <c r="D139" s="43"/>
    </row>
    <row r="140" spans="2:4" ht="12.75">
      <c r="B140" s="51"/>
      <c r="C140" s="52"/>
      <c r="D140" s="43"/>
    </row>
    <row r="141" spans="2:4" ht="12.75">
      <c r="B141" s="51"/>
      <c r="C141" s="52"/>
      <c r="D141" s="43"/>
    </row>
    <row r="142" spans="2:4" ht="12.75">
      <c r="B142" s="51"/>
      <c r="C142" s="52"/>
      <c r="D142" s="43"/>
    </row>
    <row r="143" spans="2:4" ht="12.75">
      <c r="B143" s="51"/>
      <c r="C143" s="52"/>
      <c r="D143" s="43"/>
    </row>
    <row r="144" spans="2:4" ht="12.75">
      <c r="B144" s="51"/>
      <c r="C144" s="52"/>
      <c r="D144" s="43"/>
    </row>
    <row r="145" spans="2:4" ht="12.75">
      <c r="B145" s="51"/>
      <c r="C145" s="52"/>
      <c r="D145" s="43"/>
    </row>
    <row r="146" spans="2:4" ht="12.75">
      <c r="B146" s="51"/>
      <c r="C146" s="52"/>
      <c r="D146" s="43"/>
    </row>
    <row r="147" spans="2:4" ht="12.75">
      <c r="B147" s="51"/>
      <c r="C147" s="52"/>
      <c r="D147" s="43"/>
    </row>
    <row r="148" spans="2:4" ht="12.75">
      <c r="B148" s="51"/>
      <c r="C148" s="52"/>
      <c r="D148" s="43"/>
    </row>
    <row r="149" spans="2:4" ht="12.75">
      <c r="B149" s="51"/>
      <c r="C149" s="52"/>
      <c r="D149" s="43"/>
    </row>
    <row r="150" spans="2:4" ht="12.75">
      <c r="B150" s="51"/>
      <c r="C150" s="52"/>
      <c r="D150" s="43"/>
    </row>
    <row r="151" spans="2:4" ht="12.75">
      <c r="B151" s="51"/>
      <c r="C151" s="52"/>
      <c r="D151" s="43"/>
    </row>
    <row r="152" spans="2:4" ht="12.75">
      <c r="B152" s="51"/>
      <c r="C152" s="52"/>
      <c r="D152" s="43"/>
    </row>
    <row r="153" spans="2:4" ht="12.75">
      <c r="B153" s="51"/>
      <c r="C153" s="52"/>
      <c r="D153" s="43"/>
    </row>
    <row r="154" spans="2:4" ht="12.75">
      <c r="B154" s="51"/>
      <c r="C154" s="52"/>
      <c r="D154" s="43"/>
    </row>
    <row r="155" spans="2:4" ht="12.75">
      <c r="B155" s="51"/>
      <c r="C155" s="52"/>
      <c r="D155" s="43"/>
    </row>
    <row r="156" spans="2:4" ht="12.75">
      <c r="B156" s="51"/>
      <c r="C156" s="52"/>
      <c r="D156" s="43"/>
    </row>
    <row r="157" spans="2:4" ht="12.75">
      <c r="B157" s="51"/>
      <c r="C157" s="52"/>
      <c r="D157" s="43"/>
    </row>
    <row r="158" spans="2:4" ht="12.75">
      <c r="B158" s="51"/>
      <c r="C158" s="52"/>
      <c r="D158" s="43"/>
    </row>
    <row r="159" spans="2:4" ht="12.75">
      <c r="B159" s="51"/>
      <c r="C159" s="52"/>
      <c r="D159" s="43"/>
    </row>
    <row r="160" spans="2:4" ht="12.75">
      <c r="B160" s="51"/>
      <c r="C160" s="52"/>
      <c r="D160" s="43"/>
    </row>
    <row r="161" spans="2:4" ht="12.75">
      <c r="B161" s="51"/>
      <c r="C161" s="52"/>
      <c r="D161" s="43"/>
    </row>
    <row r="162" spans="2:4" ht="12.75">
      <c r="B162" s="51"/>
      <c r="C162" s="52"/>
      <c r="D162" s="43"/>
    </row>
    <row r="163" spans="2:4" ht="12.75">
      <c r="B163" s="51"/>
      <c r="C163" s="52"/>
      <c r="D163" s="43"/>
    </row>
    <row r="164" spans="2:4" ht="12.75">
      <c r="B164" s="51"/>
      <c r="C164" s="52"/>
      <c r="D164" s="43"/>
    </row>
    <row r="165" spans="2:4" ht="12.75">
      <c r="B165" s="51"/>
      <c r="C165" s="52"/>
      <c r="D165" s="43"/>
    </row>
    <row r="166" spans="2:4" ht="12.75">
      <c r="B166" s="51"/>
      <c r="C166" s="52"/>
      <c r="D166" s="43"/>
    </row>
    <row r="167" spans="2:4" ht="12.75">
      <c r="B167" s="51"/>
      <c r="C167" s="52"/>
      <c r="D167" s="43"/>
    </row>
    <row r="168" spans="2:4" ht="12.75">
      <c r="B168" s="51"/>
      <c r="C168" s="52"/>
      <c r="D168" s="43"/>
    </row>
    <row r="169" spans="2:4" ht="12.75">
      <c r="B169" s="51"/>
      <c r="C169" s="52"/>
      <c r="D169" s="43"/>
    </row>
    <row r="170" spans="2:4" ht="12.75">
      <c r="B170" s="51"/>
      <c r="C170" s="52"/>
      <c r="D170" s="43"/>
    </row>
    <row r="171" spans="2:4" ht="12.75">
      <c r="B171" s="51"/>
      <c r="C171" s="52"/>
      <c r="D171" s="43"/>
    </row>
    <row r="172" spans="2:4" ht="12.75">
      <c r="B172" s="51"/>
      <c r="C172" s="52"/>
      <c r="D172" s="43"/>
    </row>
    <row r="173" spans="2:4" ht="12.75">
      <c r="B173" s="51"/>
      <c r="C173" s="52"/>
      <c r="D173" s="43"/>
    </row>
    <row r="174" spans="2:4" ht="12.75">
      <c r="B174" s="51"/>
      <c r="C174" s="52"/>
      <c r="D174" s="43"/>
    </row>
    <row r="175" spans="2:4" ht="12.75">
      <c r="B175" s="51"/>
      <c r="C175" s="52"/>
      <c r="D175" s="43"/>
    </row>
    <row r="176" spans="2:4" ht="12.75">
      <c r="B176" s="51"/>
      <c r="C176" s="52"/>
      <c r="D176" s="43"/>
    </row>
    <row r="177" spans="2:4" ht="12.75">
      <c r="B177" s="51"/>
      <c r="C177" s="52"/>
      <c r="D177" s="43"/>
    </row>
    <row r="178" spans="2:4" ht="12.75">
      <c r="B178" s="51"/>
      <c r="C178" s="52"/>
      <c r="D178" s="43"/>
    </row>
    <row r="179" spans="2:4" ht="12.75">
      <c r="B179" s="51"/>
      <c r="C179" s="52"/>
      <c r="D179" s="43"/>
    </row>
    <row r="180" spans="2:4" ht="12.75">
      <c r="B180" s="51"/>
      <c r="C180" s="52"/>
      <c r="D180" s="43"/>
    </row>
    <row r="181" spans="2:4" ht="12.75">
      <c r="B181" s="51"/>
      <c r="C181" s="52"/>
      <c r="D181" s="43"/>
    </row>
    <row r="182" spans="2:4" ht="12.75">
      <c r="B182" s="51"/>
      <c r="C182" s="52"/>
      <c r="D182" s="43"/>
    </row>
    <row r="183" spans="2:4" ht="12.75">
      <c r="B183" s="51"/>
      <c r="C183" s="52"/>
      <c r="D183" s="43"/>
    </row>
    <row r="184" spans="2:4" ht="12.75">
      <c r="B184" s="51"/>
      <c r="C184" s="52"/>
      <c r="D184" s="43"/>
    </row>
    <row r="185" spans="2:4" ht="12.75">
      <c r="B185" s="51"/>
      <c r="C185" s="52"/>
      <c r="D185" s="43"/>
    </row>
    <row r="186" spans="2:4" ht="12.75">
      <c r="B186" s="51"/>
      <c r="C186" s="52"/>
      <c r="D186" s="43"/>
    </row>
    <row r="187" spans="2:4" ht="12.75">
      <c r="B187" s="51"/>
      <c r="C187" s="52"/>
      <c r="D187" s="43"/>
    </row>
    <row r="188" spans="2:4" ht="12.75">
      <c r="B188" s="51"/>
      <c r="C188" s="52"/>
      <c r="D188" s="43"/>
    </row>
    <row r="189" spans="2:4" ht="12.75">
      <c r="B189" s="51"/>
      <c r="C189" s="52"/>
      <c r="D189" s="43"/>
    </row>
    <row r="190" spans="2:4" ht="12.75">
      <c r="B190" s="51"/>
      <c r="C190" s="52"/>
      <c r="D190" s="43"/>
    </row>
    <row r="191" spans="2:4" ht="12.75">
      <c r="B191" s="51"/>
      <c r="C191" s="52"/>
      <c r="D191" s="43"/>
    </row>
    <row r="192" spans="2:4" ht="12.75">
      <c r="B192" s="51"/>
      <c r="C192" s="52"/>
      <c r="D192" s="43"/>
    </row>
    <row r="193" spans="2:4" ht="12.75">
      <c r="B193" s="51"/>
      <c r="C193" s="52"/>
      <c r="D193" s="43"/>
    </row>
    <row r="194" spans="2:4" ht="12.75">
      <c r="B194" s="51"/>
      <c r="C194" s="52"/>
      <c r="D194" s="43"/>
    </row>
    <row r="195" spans="2:4" ht="12.75">
      <c r="B195" s="51"/>
      <c r="C195" s="52"/>
      <c r="D195" s="43"/>
    </row>
    <row r="196" spans="2:4" ht="12.75">
      <c r="B196" s="51"/>
      <c r="C196" s="52"/>
      <c r="D196" s="43"/>
    </row>
    <row r="197" spans="2:4" ht="12.75">
      <c r="B197" s="51"/>
      <c r="C197" s="52"/>
      <c r="D197" s="43"/>
    </row>
    <row r="198" spans="2:4" ht="12.75">
      <c r="B198" s="51"/>
      <c r="C198" s="52"/>
      <c r="D198" s="43"/>
    </row>
    <row r="199" spans="2:4" ht="12.75">
      <c r="B199" s="51"/>
      <c r="C199" s="52"/>
      <c r="D199" s="43"/>
    </row>
    <row r="200" spans="2:4" ht="12.75">
      <c r="B200" s="51"/>
      <c r="C200" s="52"/>
      <c r="D200" s="43"/>
    </row>
    <row r="201" spans="2:4" ht="12.75">
      <c r="B201" s="51"/>
      <c r="C201" s="52"/>
      <c r="D201" s="43"/>
    </row>
    <row r="202" spans="2:4" ht="12.75">
      <c r="B202" s="51"/>
      <c r="C202" s="52"/>
      <c r="D202" s="43"/>
    </row>
    <row r="203" spans="2:4" ht="12.75">
      <c r="B203" s="51"/>
      <c r="C203" s="52"/>
      <c r="D203" s="43"/>
    </row>
    <row r="204" spans="2:4" ht="12.75">
      <c r="B204" s="51"/>
      <c r="C204" s="52"/>
      <c r="D204" s="43"/>
    </row>
    <row r="205" spans="2:4" ht="12.75">
      <c r="B205" s="51"/>
      <c r="C205" s="52"/>
      <c r="D205" s="43"/>
    </row>
    <row r="206" spans="2:4" ht="12.75">
      <c r="B206" s="51"/>
      <c r="C206" s="52"/>
      <c r="D206" s="43"/>
    </row>
    <row r="207" spans="2:4" ht="12.75">
      <c r="B207" s="51"/>
      <c r="C207" s="52"/>
      <c r="D207" s="43"/>
    </row>
    <row r="208" spans="2:4" ht="12.75">
      <c r="B208" s="51"/>
      <c r="C208" s="52"/>
      <c r="D208" s="43"/>
    </row>
    <row r="209" spans="2:4" ht="12.75">
      <c r="B209" s="51"/>
      <c r="C209" s="52"/>
      <c r="D209" s="43"/>
    </row>
    <row r="210" spans="2:4" ht="12.75">
      <c r="B210" s="51"/>
      <c r="C210" s="52"/>
      <c r="D210" s="43"/>
    </row>
    <row r="211" spans="2:4" ht="12.75">
      <c r="B211" s="51"/>
      <c r="C211" s="52"/>
      <c r="D211" s="43"/>
    </row>
    <row r="212" spans="2:4" ht="12.75">
      <c r="B212" s="51"/>
      <c r="C212" s="52"/>
      <c r="D212" s="43"/>
    </row>
    <row r="213" spans="2:4" ht="12.75">
      <c r="B213" s="51"/>
      <c r="C213" s="52"/>
      <c r="D213" s="43"/>
    </row>
    <row r="214" spans="2:4" ht="12.75">
      <c r="B214" s="51"/>
      <c r="C214" s="52"/>
      <c r="D214" s="43"/>
    </row>
    <row r="215" spans="2:4" ht="12.75">
      <c r="B215" s="51"/>
      <c r="C215" s="52"/>
      <c r="D215" s="43"/>
    </row>
    <row r="216" spans="2:4" ht="12.75">
      <c r="B216" s="51"/>
      <c r="C216" s="52"/>
      <c r="D216" s="43"/>
    </row>
    <row r="217" spans="2:4" ht="12.75">
      <c r="B217" s="51"/>
      <c r="C217" s="52"/>
      <c r="D217" s="43"/>
    </row>
  </sheetData>
  <sheetProtection password="CC6D" sheet="1" objects="1" scenarios="1"/>
  <mergeCells count="15">
    <mergeCell ref="B15:D15"/>
    <mergeCell ref="B16:D16"/>
    <mergeCell ref="B23:C23"/>
    <mergeCell ref="B24:D24"/>
    <mergeCell ref="B2:D2"/>
    <mergeCell ref="B3:D4"/>
    <mergeCell ref="B5:D5"/>
    <mergeCell ref="B14:C14"/>
    <mergeCell ref="B36:C36"/>
    <mergeCell ref="B37:D37"/>
    <mergeCell ref="B38:C38"/>
    <mergeCell ref="B25:D25"/>
    <mergeCell ref="B30:C30"/>
    <mergeCell ref="B31:D31"/>
    <mergeCell ref="B32:D32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I5:IU52"/>
  <sheetViews>
    <sheetView showGridLines="0" zoomScale="80" zoomScaleNormal="80" zoomScalePageLayoutView="0" workbookViewId="0" topLeftCell="A1">
      <selection activeCell="Q7" sqref="Q7"/>
    </sheetView>
  </sheetViews>
  <sheetFormatPr defaultColWidth="11.421875" defaultRowHeight="12.75"/>
  <cols>
    <col min="1" max="8" width="11.421875" style="247" customWidth="1"/>
    <col min="9" max="9" width="3.140625" style="247" customWidth="1"/>
    <col min="10" max="10" width="7.7109375" style="247" customWidth="1"/>
    <col min="11" max="11" width="27.140625" style="247" customWidth="1"/>
    <col min="12" max="12" width="32.28125" style="247" customWidth="1"/>
    <col min="13" max="13" width="10.421875" style="247" bestFit="1" customWidth="1"/>
    <col min="14" max="14" width="20.00390625" style="247" customWidth="1"/>
    <col min="15" max="15" width="3.421875" style="247" customWidth="1"/>
    <col min="16" max="16" width="15.7109375" style="247" customWidth="1"/>
    <col min="17" max="17" width="54.00390625" style="247" customWidth="1"/>
    <col min="18" max="18" width="10.00390625" style="247" customWidth="1"/>
    <col min="19" max="19" width="11.7109375" style="247" bestFit="1" customWidth="1"/>
    <col min="20" max="16384" width="11.421875" style="247" customWidth="1"/>
  </cols>
  <sheetData>
    <row r="4" ht="74.25" customHeight="1"/>
    <row r="5" spans="9:255" ht="15.75" thickBot="1">
      <c r="I5"/>
      <c r="J5"/>
      <c r="K5"/>
      <c r="L5"/>
      <c r="M5"/>
      <c r="N5"/>
      <c r="O5"/>
      <c r="P5"/>
      <c r="Q5"/>
      <c r="R5"/>
      <c r="S5" s="245"/>
      <c r="T5" s="246"/>
      <c r="U5" s="246"/>
      <c r="V5" s="246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  <c r="HU5" s="245"/>
      <c r="HV5" s="245"/>
      <c r="HW5" s="245"/>
      <c r="HX5" s="245"/>
      <c r="HY5" s="245"/>
      <c r="HZ5" s="245"/>
      <c r="IA5" s="245"/>
      <c r="IB5" s="245"/>
      <c r="IC5" s="245"/>
      <c r="ID5" s="245"/>
      <c r="IE5" s="245"/>
      <c r="IF5" s="245"/>
      <c r="IG5" s="245"/>
      <c r="IH5" s="245"/>
      <c r="II5" s="245"/>
      <c r="IJ5" s="245"/>
      <c r="IK5" s="245"/>
      <c r="IL5" s="245"/>
      <c r="IM5" s="245"/>
      <c r="IN5" s="245"/>
      <c r="IO5" s="245"/>
      <c r="IP5" s="245"/>
      <c r="IQ5" s="245"/>
      <c r="IR5" s="245"/>
      <c r="IS5" s="245"/>
      <c r="IT5" s="245"/>
      <c r="IU5" s="245"/>
    </row>
    <row r="6" spans="9:17" ht="15.75" thickBot="1">
      <c r="I6" s="644" t="s">
        <v>314</v>
      </c>
      <c r="J6" s="645"/>
      <c r="K6" s="645"/>
      <c r="L6" s="645"/>
      <c r="M6" s="645"/>
      <c r="N6" s="645"/>
      <c r="O6" s="646"/>
      <c r="Q6" s="304" t="s">
        <v>511</v>
      </c>
    </row>
    <row r="7" spans="9:20" ht="15.75" thickBot="1">
      <c r="I7" s="248"/>
      <c r="K7" s="249"/>
      <c r="L7" s="249"/>
      <c r="M7" s="249"/>
      <c r="O7" s="250"/>
      <c r="Q7" s="356" t="s">
        <v>512</v>
      </c>
      <c r="T7" s="251"/>
    </row>
    <row r="8" spans="9:19" ht="15.75" thickBot="1">
      <c r="I8" s="248"/>
      <c r="J8" s="252" t="s">
        <v>154</v>
      </c>
      <c r="K8" s="647" t="s">
        <v>35</v>
      </c>
      <c r="L8" s="648"/>
      <c r="M8" s="253" t="s">
        <v>316</v>
      </c>
      <c r="N8" s="254" t="s">
        <v>317</v>
      </c>
      <c r="O8" s="250"/>
      <c r="P8" s="255"/>
      <c r="S8" s="256"/>
    </row>
    <row r="9" spans="9:17" ht="15">
      <c r="I9" s="248"/>
      <c r="J9" s="257" t="s">
        <v>318</v>
      </c>
      <c r="K9" s="649" t="s">
        <v>319</v>
      </c>
      <c r="L9" s="650"/>
      <c r="M9" s="351">
        <v>6</v>
      </c>
      <c r="N9" s="258" t="s">
        <v>320</v>
      </c>
      <c r="O9" s="250"/>
      <c r="Q9" s="306"/>
    </row>
    <row r="10" spans="9:15" ht="15">
      <c r="I10" s="248"/>
      <c r="J10" s="259" t="s">
        <v>321</v>
      </c>
      <c r="K10" s="651" t="s">
        <v>322</v>
      </c>
      <c r="L10" s="652"/>
      <c r="M10" s="352">
        <v>0.8</v>
      </c>
      <c r="N10" s="260" t="s">
        <v>323</v>
      </c>
      <c r="O10" s="250"/>
    </row>
    <row r="11" spans="9:15" ht="15">
      <c r="I11" s="248"/>
      <c r="J11" s="261" t="s">
        <v>324</v>
      </c>
      <c r="K11" s="653" t="s">
        <v>325</v>
      </c>
      <c r="L11" s="654"/>
      <c r="M11" s="352">
        <v>0.97</v>
      </c>
      <c r="N11" s="262" t="s">
        <v>326</v>
      </c>
      <c r="O11" s="250"/>
    </row>
    <row r="12" spans="9:15" ht="15">
      <c r="I12" s="248"/>
      <c r="J12" s="259" t="s">
        <v>327</v>
      </c>
      <c r="K12" s="651" t="s">
        <v>328</v>
      </c>
      <c r="L12" s="651"/>
      <c r="M12" s="352">
        <v>1.11</v>
      </c>
      <c r="N12" s="260" t="s">
        <v>329</v>
      </c>
      <c r="O12" s="250"/>
    </row>
    <row r="13" spans="9:18" ht="15">
      <c r="I13" s="248"/>
      <c r="J13" s="259" t="s">
        <v>330</v>
      </c>
      <c r="K13" s="651" t="s">
        <v>331</v>
      </c>
      <c r="L13" s="651"/>
      <c r="M13" s="352">
        <v>4.5</v>
      </c>
      <c r="N13" s="260" t="s">
        <v>332</v>
      </c>
      <c r="O13" s="250"/>
      <c r="R13" s="263"/>
    </row>
    <row r="14" spans="9:15" ht="15">
      <c r="I14" s="248"/>
      <c r="J14" s="259" t="s">
        <v>333</v>
      </c>
      <c r="K14" s="651" t="s">
        <v>334</v>
      </c>
      <c r="L14" s="651"/>
      <c r="M14" s="353"/>
      <c r="N14" s="260" t="s">
        <v>335</v>
      </c>
      <c r="O14" s="250"/>
    </row>
    <row r="15" spans="9:15" ht="15">
      <c r="I15" s="248"/>
      <c r="J15" s="264" t="s">
        <v>288</v>
      </c>
      <c r="K15" s="634" t="s">
        <v>336</v>
      </c>
      <c r="L15" s="634"/>
      <c r="M15" s="354">
        <v>1.5</v>
      </c>
      <c r="N15" s="265"/>
      <c r="O15" s="250"/>
    </row>
    <row r="16" spans="9:15" ht="15">
      <c r="I16" s="248"/>
      <c r="J16" s="264" t="s">
        <v>290</v>
      </c>
      <c r="K16" s="634" t="s">
        <v>337</v>
      </c>
      <c r="L16" s="634"/>
      <c r="M16" s="354">
        <v>1.5</v>
      </c>
      <c r="N16" s="265"/>
      <c r="O16" s="250"/>
    </row>
    <row r="17" spans="9:16" ht="15">
      <c r="I17" s="248"/>
      <c r="J17" s="264" t="s">
        <v>291</v>
      </c>
      <c r="K17" s="634" t="s">
        <v>338</v>
      </c>
      <c r="L17" s="634"/>
      <c r="M17" s="354">
        <v>1.5</v>
      </c>
      <c r="N17" s="265"/>
      <c r="O17" s="250"/>
      <c r="P17" s="251"/>
    </row>
    <row r="18" spans="9:18" ht="15.75" thickBot="1">
      <c r="I18" s="248"/>
      <c r="J18" s="266" t="s">
        <v>293</v>
      </c>
      <c r="K18" s="640" t="s">
        <v>339</v>
      </c>
      <c r="L18" s="640"/>
      <c r="M18" s="355">
        <v>4.5</v>
      </c>
      <c r="N18" s="267"/>
      <c r="O18" s="250"/>
      <c r="Q18" s="268"/>
      <c r="R18" s="269"/>
    </row>
    <row r="19" spans="9:15" ht="15">
      <c r="I19" s="248"/>
      <c r="K19" s="251"/>
      <c r="L19" s="251"/>
      <c r="M19" s="270"/>
      <c r="O19" s="250"/>
    </row>
    <row r="20" spans="9:15" ht="15">
      <c r="I20" s="248"/>
      <c r="K20" s="251" t="s">
        <v>340</v>
      </c>
      <c r="L20" s="251"/>
      <c r="M20" s="271"/>
      <c r="O20" s="250"/>
    </row>
    <row r="21" spans="9:15" ht="15">
      <c r="I21" s="248"/>
      <c r="J21" s="272"/>
      <c r="K21" s="272"/>
      <c r="L21" s="272"/>
      <c r="M21" s="272"/>
      <c r="N21" s="272"/>
      <c r="O21" s="250"/>
    </row>
    <row r="22" spans="9:15" ht="15">
      <c r="I22" s="248"/>
      <c r="J22" s="272"/>
      <c r="K22" s="272" t="s">
        <v>341</v>
      </c>
      <c r="L22" s="272"/>
      <c r="M22" s="272"/>
      <c r="N22" s="272"/>
      <c r="O22" s="250"/>
    </row>
    <row r="23" spans="9:15" ht="15.75" thickBot="1">
      <c r="I23" s="248"/>
      <c r="O23" s="250"/>
    </row>
    <row r="24" spans="9:17" ht="15.75" thickBot="1">
      <c r="I24" s="273"/>
      <c r="J24" s="274"/>
      <c r="K24" s="296" t="s">
        <v>349</v>
      </c>
      <c r="L24" s="297">
        <f>ROUND((((1+(M9+M10+M11)/100)*(1+(M12/100))*(1+(M13/100)))/(1-(SUM(M15:M18)/100))-1)*100,2)/100</f>
        <v>0.25129999999999997</v>
      </c>
      <c r="M24" s="274"/>
      <c r="N24" s="274"/>
      <c r="O24" s="275"/>
      <c r="P24" s="288"/>
      <c r="Q24" s="251"/>
    </row>
    <row r="25" spans="9:15" ht="15">
      <c r="I25" s="248"/>
      <c r="K25" s="272"/>
      <c r="L25" s="272"/>
      <c r="O25" s="250"/>
    </row>
    <row r="26" spans="9:15" ht="15">
      <c r="I26" s="248"/>
      <c r="J26" s="251" t="s">
        <v>342</v>
      </c>
      <c r="O26" s="250"/>
    </row>
    <row r="27" spans="9:15" ht="15">
      <c r="I27" s="248"/>
      <c r="J27" s="251"/>
      <c r="O27" s="250"/>
    </row>
    <row r="28" spans="9:15" ht="15">
      <c r="I28" s="248"/>
      <c r="J28" s="641" t="str">
        <f>"1) A análise dos BDIs apresentados pelas empresas terá seu critério regido pelo ACÓRDÃO do TCU nº 2622/2013 - Plenário, que gerou a tabela abaixo com os limites para BDI para "&amp;$Q$7&amp;"."</f>
        <v>1) A análise dos BDIs apresentados pelas empresas terá seu critério regido pelo ACÓRDÃO do TCU nº 2622/2013 - Plenário, que gerou a tabela abaixo com os limites para BDI para Construção de Edifícios .</v>
      </c>
      <c r="K28" s="641"/>
      <c r="L28" s="641"/>
      <c r="M28" s="641"/>
      <c r="N28" s="641"/>
      <c r="O28" s="250"/>
    </row>
    <row r="29" spans="9:15" ht="44.25" customHeight="1">
      <c r="I29" s="248"/>
      <c r="J29" s="641"/>
      <c r="K29" s="641"/>
      <c r="L29" s="641"/>
      <c r="M29" s="641"/>
      <c r="N29" s="641"/>
      <c r="O29" s="250"/>
    </row>
    <row r="30" spans="9:255" ht="15">
      <c r="I30" s="276"/>
      <c r="J30" s="642" t="s">
        <v>343</v>
      </c>
      <c r="K30" s="642"/>
      <c r="L30" s="642"/>
      <c r="M30" s="642"/>
      <c r="N30" s="642"/>
      <c r="O30" s="277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8"/>
      <c r="EZ30" s="278"/>
      <c r="FA30" s="278"/>
      <c r="FB30" s="278"/>
      <c r="FC30" s="278"/>
      <c r="FD30" s="278"/>
      <c r="FE30" s="278"/>
      <c r="FF30" s="278"/>
      <c r="FG30" s="278"/>
      <c r="FH30" s="278"/>
      <c r="FI30" s="278"/>
      <c r="FJ30" s="278"/>
      <c r="FK30" s="278"/>
      <c r="FL30" s="278"/>
      <c r="FM30" s="278"/>
      <c r="FN30" s="278"/>
      <c r="FO30" s="278"/>
      <c r="FP30" s="278"/>
      <c r="FQ30" s="278"/>
      <c r="FR30" s="278"/>
      <c r="FS30" s="278"/>
      <c r="FT30" s="278"/>
      <c r="FU30" s="278"/>
      <c r="FV30" s="278"/>
      <c r="FW30" s="278"/>
      <c r="FX30" s="278"/>
      <c r="FY30" s="278"/>
      <c r="FZ30" s="278"/>
      <c r="GA30" s="278"/>
      <c r="GB30" s="278"/>
      <c r="GC30" s="278"/>
      <c r="GD30" s="278"/>
      <c r="GE30" s="278"/>
      <c r="GF30" s="278"/>
      <c r="GG30" s="278"/>
      <c r="GH30" s="278"/>
      <c r="GI30" s="278"/>
      <c r="GJ30" s="278"/>
      <c r="GK30" s="278"/>
      <c r="GL30" s="278"/>
      <c r="GM30" s="278"/>
      <c r="GN30" s="278"/>
      <c r="GO30" s="278"/>
      <c r="GP30" s="278"/>
      <c r="GQ30" s="278"/>
      <c r="GR30" s="278"/>
      <c r="GS30" s="278"/>
      <c r="GT30" s="278"/>
      <c r="GU30" s="278"/>
      <c r="GV30" s="278"/>
      <c r="GW30" s="278"/>
      <c r="GX30" s="278"/>
      <c r="GY30" s="278"/>
      <c r="GZ30" s="278"/>
      <c r="HA30" s="278"/>
      <c r="HB30" s="278"/>
      <c r="HC30" s="278"/>
      <c r="HD30" s="278"/>
      <c r="HE30" s="278"/>
      <c r="HF30" s="278"/>
      <c r="HG30" s="278"/>
      <c r="HH30" s="278"/>
      <c r="HI30" s="278"/>
      <c r="HJ30" s="278"/>
      <c r="HK30" s="278"/>
      <c r="HL30" s="278"/>
      <c r="HM30" s="278"/>
      <c r="HN30" s="278"/>
      <c r="HO30" s="278"/>
      <c r="HP30" s="278"/>
      <c r="HQ30" s="278"/>
      <c r="HR30" s="278"/>
      <c r="HS30" s="278"/>
      <c r="HT30" s="278"/>
      <c r="HU30" s="278"/>
      <c r="HV30" s="278"/>
      <c r="HW30" s="278"/>
      <c r="HX30" s="278"/>
      <c r="HY30" s="278"/>
      <c r="HZ30" s="278"/>
      <c r="IA30" s="278"/>
      <c r="IB30" s="278"/>
      <c r="IC30" s="278"/>
      <c r="ID30" s="278"/>
      <c r="IE30" s="278"/>
      <c r="IF30" s="278"/>
      <c r="IG30" s="278"/>
      <c r="IH30" s="278"/>
      <c r="II30" s="278"/>
      <c r="IJ30" s="278"/>
      <c r="IK30" s="278"/>
      <c r="IL30" s="278"/>
      <c r="IM30" s="278"/>
      <c r="IN30" s="278"/>
      <c r="IO30" s="278"/>
      <c r="IP30" s="278"/>
      <c r="IQ30" s="278"/>
      <c r="IR30" s="278"/>
      <c r="IS30" s="278"/>
      <c r="IT30" s="278"/>
      <c r="IU30" s="278"/>
    </row>
    <row r="31" spans="9:255" ht="15">
      <c r="I31" s="276"/>
      <c r="J31" s="642"/>
      <c r="K31" s="642"/>
      <c r="L31" s="642"/>
      <c r="M31" s="642"/>
      <c r="N31" s="642"/>
      <c r="O31" s="277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  <c r="EC31" s="278"/>
      <c r="ED31" s="278"/>
      <c r="EE31" s="278"/>
      <c r="EF31" s="278"/>
      <c r="EG31" s="278"/>
      <c r="EH31" s="278"/>
      <c r="EI31" s="278"/>
      <c r="EJ31" s="278"/>
      <c r="EK31" s="278"/>
      <c r="EL31" s="278"/>
      <c r="EM31" s="278"/>
      <c r="EN31" s="278"/>
      <c r="EO31" s="278"/>
      <c r="EP31" s="278"/>
      <c r="EQ31" s="278"/>
      <c r="ER31" s="278"/>
      <c r="ES31" s="278"/>
      <c r="ET31" s="278"/>
      <c r="EU31" s="278"/>
      <c r="EV31" s="278"/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8"/>
      <c r="FL31" s="278"/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8"/>
      <c r="GB31" s="278"/>
      <c r="GC31" s="278"/>
      <c r="GD31" s="278"/>
      <c r="GE31" s="278"/>
      <c r="GF31" s="278"/>
      <c r="GG31" s="278"/>
      <c r="GH31" s="278"/>
      <c r="GI31" s="278"/>
      <c r="GJ31" s="278"/>
      <c r="GK31" s="278"/>
      <c r="GL31" s="278"/>
      <c r="GM31" s="278"/>
      <c r="GN31" s="278"/>
      <c r="GO31" s="278"/>
      <c r="GP31" s="278"/>
      <c r="GQ31" s="278"/>
      <c r="GR31" s="278"/>
      <c r="GS31" s="278"/>
      <c r="GT31" s="278"/>
      <c r="GU31" s="278"/>
      <c r="GV31" s="278"/>
      <c r="GW31" s="278"/>
      <c r="GX31" s="278"/>
      <c r="GY31" s="278"/>
      <c r="GZ31" s="278"/>
      <c r="HA31" s="278"/>
      <c r="HB31" s="278"/>
      <c r="HC31" s="278"/>
      <c r="HD31" s="278"/>
      <c r="HE31" s="278"/>
      <c r="HF31" s="278"/>
      <c r="HG31" s="278"/>
      <c r="HH31" s="278"/>
      <c r="HI31" s="278"/>
      <c r="HJ31" s="278"/>
      <c r="HK31" s="278"/>
      <c r="HL31" s="278"/>
      <c r="HM31" s="278"/>
      <c r="HN31" s="278"/>
      <c r="HO31" s="278"/>
      <c r="HP31" s="278"/>
      <c r="HQ31" s="278"/>
      <c r="HR31" s="278"/>
      <c r="HS31" s="278"/>
      <c r="HT31" s="278"/>
      <c r="HU31" s="278"/>
      <c r="HV31" s="278"/>
      <c r="HW31" s="278"/>
      <c r="HX31" s="278"/>
      <c r="HY31" s="278"/>
      <c r="HZ31" s="278"/>
      <c r="IA31" s="278"/>
      <c r="IB31" s="278"/>
      <c r="IC31" s="278"/>
      <c r="ID31" s="278"/>
      <c r="IE31" s="278"/>
      <c r="IF31" s="278"/>
      <c r="IG31" s="278"/>
      <c r="IH31" s="278"/>
      <c r="II31" s="278"/>
      <c r="IJ31" s="278"/>
      <c r="IK31" s="278"/>
      <c r="IL31" s="278"/>
      <c r="IM31" s="278"/>
      <c r="IN31" s="278"/>
      <c r="IO31" s="278"/>
      <c r="IP31" s="278"/>
      <c r="IQ31" s="278"/>
      <c r="IR31" s="278"/>
      <c r="IS31" s="278"/>
      <c r="IT31" s="278"/>
      <c r="IU31" s="278"/>
    </row>
    <row r="32" spans="9:255" ht="15">
      <c r="I32" s="276"/>
      <c r="J32" s="642"/>
      <c r="K32" s="642"/>
      <c r="L32" s="642"/>
      <c r="M32" s="642"/>
      <c r="N32" s="642"/>
      <c r="O32" s="277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8"/>
      <c r="ED32" s="278"/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8"/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8"/>
      <c r="FL32" s="278"/>
      <c r="FM32" s="278"/>
      <c r="FN32" s="278"/>
      <c r="FO32" s="278"/>
      <c r="FP32" s="278"/>
      <c r="FQ32" s="278"/>
      <c r="FR32" s="278"/>
      <c r="FS32" s="278"/>
      <c r="FT32" s="278"/>
      <c r="FU32" s="278"/>
      <c r="FV32" s="278"/>
      <c r="FW32" s="278"/>
      <c r="FX32" s="278"/>
      <c r="FY32" s="278"/>
      <c r="FZ32" s="278"/>
      <c r="GA32" s="278"/>
      <c r="GB32" s="278"/>
      <c r="GC32" s="278"/>
      <c r="GD32" s="278"/>
      <c r="GE32" s="278"/>
      <c r="GF32" s="278"/>
      <c r="GG32" s="278"/>
      <c r="GH32" s="278"/>
      <c r="GI32" s="278"/>
      <c r="GJ32" s="278"/>
      <c r="GK32" s="278"/>
      <c r="GL32" s="278"/>
      <c r="GM32" s="278"/>
      <c r="GN32" s="278"/>
      <c r="GO32" s="278"/>
      <c r="GP32" s="278"/>
      <c r="GQ32" s="278"/>
      <c r="GR32" s="278"/>
      <c r="GS32" s="278"/>
      <c r="GT32" s="278"/>
      <c r="GU32" s="278"/>
      <c r="GV32" s="278"/>
      <c r="GW32" s="278"/>
      <c r="GX32" s="278"/>
      <c r="GY32" s="278"/>
      <c r="GZ32" s="278"/>
      <c r="HA32" s="278"/>
      <c r="HB32" s="278"/>
      <c r="HC32" s="278"/>
      <c r="HD32" s="278"/>
      <c r="HE32" s="278"/>
      <c r="HF32" s="278"/>
      <c r="HG32" s="278"/>
      <c r="HH32" s="278"/>
      <c r="HI32" s="278"/>
      <c r="HJ32" s="278"/>
      <c r="HK32" s="278"/>
      <c r="HL32" s="278"/>
      <c r="HM32" s="278"/>
      <c r="HN32" s="278"/>
      <c r="HO32" s="278"/>
      <c r="HP32" s="278"/>
      <c r="HQ32" s="278"/>
      <c r="HR32" s="278"/>
      <c r="HS32" s="278"/>
      <c r="HT32" s="278"/>
      <c r="HU32" s="278"/>
      <c r="HV32" s="278"/>
      <c r="HW32" s="278"/>
      <c r="HX32" s="278"/>
      <c r="HY32" s="278"/>
      <c r="HZ32" s="278"/>
      <c r="IA32" s="278"/>
      <c r="IB32" s="278"/>
      <c r="IC32" s="278"/>
      <c r="ID32" s="278"/>
      <c r="IE32" s="278"/>
      <c r="IF32" s="278"/>
      <c r="IG32" s="278"/>
      <c r="IH32" s="278"/>
      <c r="II32" s="278"/>
      <c r="IJ32" s="278"/>
      <c r="IK32" s="278"/>
      <c r="IL32" s="278"/>
      <c r="IM32" s="278"/>
      <c r="IN32" s="278"/>
      <c r="IO32" s="278"/>
      <c r="IP32" s="278"/>
      <c r="IQ32" s="278"/>
      <c r="IR32" s="278"/>
      <c r="IS32" s="278"/>
      <c r="IT32" s="278"/>
      <c r="IU32" s="278"/>
    </row>
    <row r="33" spans="9:255" ht="15">
      <c r="I33" s="276"/>
      <c r="J33" s="643" t="s">
        <v>348</v>
      </c>
      <c r="K33" s="643"/>
      <c r="L33" s="643"/>
      <c r="M33" s="643"/>
      <c r="N33" s="643"/>
      <c r="O33" s="277"/>
      <c r="P33" s="279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  <c r="EC33" s="278"/>
      <c r="ED33" s="278"/>
      <c r="EE33" s="278"/>
      <c r="EF33" s="278"/>
      <c r="EG33" s="278"/>
      <c r="EH33" s="278"/>
      <c r="EI33" s="278"/>
      <c r="EJ33" s="278"/>
      <c r="EK33" s="278"/>
      <c r="EL33" s="278"/>
      <c r="EM33" s="278"/>
      <c r="EN33" s="278"/>
      <c r="EO33" s="278"/>
      <c r="EP33" s="278"/>
      <c r="EQ33" s="278"/>
      <c r="ER33" s="278"/>
      <c r="ES33" s="278"/>
      <c r="ET33" s="278"/>
      <c r="EU33" s="278"/>
      <c r="EV33" s="278"/>
      <c r="EW33" s="278"/>
      <c r="EX33" s="278"/>
      <c r="EY33" s="278"/>
      <c r="EZ33" s="278"/>
      <c r="FA33" s="278"/>
      <c r="FB33" s="278"/>
      <c r="FC33" s="278"/>
      <c r="FD33" s="278"/>
      <c r="FE33" s="278"/>
      <c r="FF33" s="278"/>
      <c r="FG33" s="278"/>
      <c r="FH33" s="278"/>
      <c r="FI33" s="278"/>
      <c r="FJ33" s="278"/>
      <c r="FK33" s="278"/>
      <c r="FL33" s="278"/>
      <c r="FM33" s="278"/>
      <c r="FN33" s="278"/>
      <c r="FO33" s="278"/>
      <c r="FP33" s="278"/>
      <c r="FQ33" s="278"/>
      <c r="FR33" s="278"/>
      <c r="FS33" s="278"/>
      <c r="FT33" s="278"/>
      <c r="FU33" s="278"/>
      <c r="FV33" s="278"/>
      <c r="FW33" s="278"/>
      <c r="FX33" s="278"/>
      <c r="FY33" s="278"/>
      <c r="FZ33" s="278"/>
      <c r="GA33" s="278"/>
      <c r="GB33" s="278"/>
      <c r="GC33" s="278"/>
      <c r="GD33" s="278"/>
      <c r="GE33" s="278"/>
      <c r="GF33" s="278"/>
      <c r="GG33" s="278"/>
      <c r="GH33" s="278"/>
      <c r="GI33" s="278"/>
      <c r="GJ33" s="278"/>
      <c r="GK33" s="278"/>
      <c r="GL33" s="278"/>
      <c r="GM33" s="278"/>
      <c r="GN33" s="278"/>
      <c r="GO33" s="278"/>
      <c r="GP33" s="278"/>
      <c r="GQ33" s="278"/>
      <c r="GR33" s="278"/>
      <c r="GS33" s="278"/>
      <c r="GT33" s="278"/>
      <c r="GU33" s="278"/>
      <c r="GV33" s="278"/>
      <c r="GW33" s="278"/>
      <c r="GX33" s="278"/>
      <c r="GY33" s="278"/>
      <c r="GZ33" s="278"/>
      <c r="HA33" s="278"/>
      <c r="HB33" s="278"/>
      <c r="HC33" s="278"/>
      <c r="HD33" s="278"/>
      <c r="HE33" s="278"/>
      <c r="HF33" s="278"/>
      <c r="HG33" s="278"/>
      <c r="HH33" s="278"/>
      <c r="HI33" s="278"/>
      <c r="HJ33" s="278"/>
      <c r="HK33" s="278"/>
      <c r="HL33" s="278"/>
      <c r="HM33" s="278"/>
      <c r="HN33" s="278"/>
      <c r="HO33" s="278"/>
      <c r="HP33" s="278"/>
      <c r="HQ33" s="278"/>
      <c r="HR33" s="278"/>
      <c r="HS33" s="278"/>
      <c r="HT33" s="278"/>
      <c r="HU33" s="278"/>
      <c r="HV33" s="278"/>
      <c r="HW33" s="278"/>
      <c r="HX33" s="278"/>
      <c r="HY33" s="278"/>
      <c r="HZ33" s="278"/>
      <c r="IA33" s="278"/>
      <c r="IB33" s="278"/>
      <c r="IC33" s="278"/>
      <c r="ID33" s="278"/>
      <c r="IE33" s="278"/>
      <c r="IF33" s="278"/>
      <c r="IG33" s="278"/>
      <c r="IH33" s="278"/>
      <c r="II33" s="278"/>
      <c r="IJ33" s="278"/>
      <c r="IK33" s="278"/>
      <c r="IL33" s="278"/>
      <c r="IM33" s="278"/>
      <c r="IN33" s="278"/>
      <c r="IO33" s="278"/>
      <c r="IP33" s="278"/>
      <c r="IQ33" s="278"/>
      <c r="IR33" s="278"/>
      <c r="IS33" s="278"/>
      <c r="IT33" s="278"/>
      <c r="IU33" s="278"/>
    </row>
    <row r="34" spans="9:255" ht="15">
      <c r="I34" s="276"/>
      <c r="J34" s="643"/>
      <c r="K34" s="643"/>
      <c r="L34" s="643"/>
      <c r="M34" s="643"/>
      <c r="N34" s="643"/>
      <c r="O34" s="277"/>
      <c r="P34" s="280"/>
      <c r="Q34" s="280"/>
      <c r="R34" s="279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/>
      <c r="EF34" s="278"/>
      <c r="EG34" s="278"/>
      <c r="EH34" s="278"/>
      <c r="EI34" s="278"/>
      <c r="EJ34" s="278"/>
      <c r="EK34" s="278"/>
      <c r="EL34" s="278"/>
      <c r="EM34" s="278"/>
      <c r="EN34" s="278"/>
      <c r="EO34" s="278"/>
      <c r="EP34" s="278"/>
      <c r="EQ34" s="278"/>
      <c r="ER34" s="278"/>
      <c r="ES34" s="278"/>
      <c r="ET34" s="278"/>
      <c r="EU34" s="278"/>
      <c r="EV34" s="278"/>
      <c r="EW34" s="278"/>
      <c r="EX34" s="278"/>
      <c r="EY34" s="278"/>
      <c r="EZ34" s="278"/>
      <c r="FA34" s="278"/>
      <c r="FB34" s="278"/>
      <c r="FC34" s="278"/>
      <c r="FD34" s="278"/>
      <c r="FE34" s="278"/>
      <c r="FF34" s="278"/>
      <c r="FG34" s="278"/>
      <c r="FH34" s="278"/>
      <c r="FI34" s="278"/>
      <c r="FJ34" s="278"/>
      <c r="FK34" s="278"/>
      <c r="FL34" s="278"/>
      <c r="FM34" s="278"/>
      <c r="FN34" s="278"/>
      <c r="FO34" s="278"/>
      <c r="FP34" s="278"/>
      <c r="FQ34" s="278"/>
      <c r="FR34" s="278"/>
      <c r="FS34" s="278"/>
      <c r="FT34" s="278"/>
      <c r="FU34" s="278"/>
      <c r="FV34" s="278"/>
      <c r="FW34" s="278"/>
      <c r="FX34" s="278"/>
      <c r="FY34" s="278"/>
      <c r="FZ34" s="278"/>
      <c r="GA34" s="278"/>
      <c r="GB34" s="278"/>
      <c r="GC34" s="278"/>
      <c r="GD34" s="278"/>
      <c r="GE34" s="278"/>
      <c r="GF34" s="278"/>
      <c r="GG34" s="278"/>
      <c r="GH34" s="278"/>
      <c r="GI34" s="278"/>
      <c r="GJ34" s="278"/>
      <c r="GK34" s="278"/>
      <c r="GL34" s="278"/>
      <c r="GM34" s="278"/>
      <c r="GN34" s="278"/>
      <c r="GO34" s="278"/>
      <c r="GP34" s="278"/>
      <c r="GQ34" s="278"/>
      <c r="GR34" s="278"/>
      <c r="GS34" s="278"/>
      <c r="GT34" s="278"/>
      <c r="GU34" s="278"/>
      <c r="GV34" s="278"/>
      <c r="GW34" s="278"/>
      <c r="GX34" s="278"/>
      <c r="GY34" s="278"/>
      <c r="GZ34" s="278"/>
      <c r="HA34" s="278"/>
      <c r="HB34" s="278"/>
      <c r="HC34" s="278"/>
      <c r="HD34" s="278"/>
      <c r="HE34" s="278"/>
      <c r="HF34" s="278"/>
      <c r="HG34" s="278"/>
      <c r="HH34" s="278"/>
      <c r="HI34" s="278"/>
      <c r="HJ34" s="278"/>
      <c r="HK34" s="278"/>
      <c r="HL34" s="278"/>
      <c r="HM34" s="278"/>
      <c r="HN34" s="278"/>
      <c r="HO34" s="278"/>
      <c r="HP34" s="278"/>
      <c r="HQ34" s="278"/>
      <c r="HR34" s="278"/>
      <c r="HS34" s="278"/>
      <c r="HT34" s="278"/>
      <c r="HU34" s="278"/>
      <c r="HV34" s="278"/>
      <c r="HW34" s="278"/>
      <c r="HX34" s="278"/>
      <c r="HY34" s="278"/>
      <c r="HZ34" s="278"/>
      <c r="IA34" s="278"/>
      <c r="IB34" s="278"/>
      <c r="IC34" s="278"/>
      <c r="ID34" s="278"/>
      <c r="IE34" s="278"/>
      <c r="IF34" s="278"/>
      <c r="IG34" s="278"/>
      <c r="IH34" s="278"/>
      <c r="II34" s="278"/>
      <c r="IJ34" s="278"/>
      <c r="IK34" s="278"/>
      <c r="IL34" s="278"/>
      <c r="IM34" s="278"/>
      <c r="IN34" s="278"/>
      <c r="IO34" s="278"/>
      <c r="IP34" s="278"/>
      <c r="IQ34" s="278"/>
      <c r="IR34" s="278"/>
      <c r="IS34" s="278"/>
      <c r="IT34" s="278"/>
      <c r="IU34" s="278"/>
    </row>
    <row r="35" spans="9:255" ht="15">
      <c r="I35" s="276"/>
      <c r="J35" s="635" t="str">
        <f>"4) Foi inserido nos tributos a Contribuição Previdênciária sobre a Receita Bruta - CPRB de "&amp;FIXED($M$18)&amp;"% de acordo com a Lei nº 12.844/13, alterada pela Lei nº 13.161/15 e Acórdão 2293-TCU-Plenário."</f>
        <v>4) Foi inserido nos tributos a Contribuição Previdênciária sobre a Receita Bruta - CPRB de 4,50% de acordo com a Lei nº 12.844/13, alterada pela Lei nº 13.161/15 e Acórdão 2293-TCU-Plenário.</v>
      </c>
      <c r="K35" s="636"/>
      <c r="L35" s="636"/>
      <c r="M35" s="636"/>
      <c r="N35" s="636"/>
      <c r="O35" s="277"/>
      <c r="P35" s="281"/>
      <c r="Q35" s="281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8"/>
      <c r="DF35" s="278"/>
      <c r="DG35" s="278"/>
      <c r="DH35" s="278"/>
      <c r="DI35" s="278"/>
      <c r="DJ35" s="278"/>
      <c r="DK35" s="278"/>
      <c r="DL35" s="278"/>
      <c r="DM35" s="278"/>
      <c r="DN35" s="278"/>
      <c r="DO35" s="278"/>
      <c r="DP35" s="278"/>
      <c r="DQ35" s="278"/>
      <c r="DR35" s="278"/>
      <c r="DS35" s="278"/>
      <c r="DT35" s="278"/>
      <c r="DU35" s="278"/>
      <c r="DV35" s="278"/>
      <c r="DW35" s="278"/>
      <c r="DX35" s="278"/>
      <c r="DY35" s="278"/>
      <c r="DZ35" s="278"/>
      <c r="EA35" s="278"/>
      <c r="EB35" s="278"/>
      <c r="EC35" s="278"/>
      <c r="ED35" s="278"/>
      <c r="EE35" s="278"/>
      <c r="EF35" s="278"/>
      <c r="EG35" s="278"/>
      <c r="EH35" s="278"/>
      <c r="EI35" s="278"/>
      <c r="EJ35" s="278"/>
      <c r="EK35" s="278"/>
      <c r="EL35" s="278"/>
      <c r="EM35" s="278"/>
      <c r="EN35" s="278"/>
      <c r="EO35" s="278"/>
      <c r="EP35" s="278"/>
      <c r="EQ35" s="278"/>
      <c r="ER35" s="278"/>
      <c r="ES35" s="278"/>
      <c r="ET35" s="278"/>
      <c r="EU35" s="278"/>
      <c r="EV35" s="278"/>
      <c r="EW35" s="278"/>
      <c r="EX35" s="278"/>
      <c r="EY35" s="278"/>
      <c r="EZ35" s="278"/>
      <c r="FA35" s="278"/>
      <c r="FB35" s="278"/>
      <c r="FC35" s="278"/>
      <c r="FD35" s="278"/>
      <c r="FE35" s="278"/>
      <c r="FF35" s="278"/>
      <c r="FG35" s="278"/>
      <c r="FH35" s="278"/>
      <c r="FI35" s="278"/>
      <c r="FJ35" s="278"/>
      <c r="FK35" s="278"/>
      <c r="FL35" s="278"/>
      <c r="FM35" s="278"/>
      <c r="FN35" s="278"/>
      <c r="FO35" s="278"/>
      <c r="FP35" s="278"/>
      <c r="FQ35" s="278"/>
      <c r="FR35" s="278"/>
      <c r="FS35" s="278"/>
      <c r="FT35" s="278"/>
      <c r="FU35" s="278"/>
      <c r="FV35" s="278"/>
      <c r="FW35" s="278"/>
      <c r="FX35" s="278"/>
      <c r="FY35" s="278"/>
      <c r="FZ35" s="278"/>
      <c r="GA35" s="278"/>
      <c r="GB35" s="278"/>
      <c r="GC35" s="278"/>
      <c r="GD35" s="278"/>
      <c r="GE35" s="278"/>
      <c r="GF35" s="278"/>
      <c r="GG35" s="278"/>
      <c r="GH35" s="278"/>
      <c r="GI35" s="278"/>
      <c r="GJ35" s="278"/>
      <c r="GK35" s="278"/>
      <c r="GL35" s="278"/>
      <c r="GM35" s="278"/>
      <c r="GN35" s="278"/>
      <c r="GO35" s="278"/>
      <c r="GP35" s="278"/>
      <c r="GQ35" s="278"/>
      <c r="GR35" s="278"/>
      <c r="GS35" s="278"/>
      <c r="GT35" s="278"/>
      <c r="GU35" s="278"/>
      <c r="GV35" s="278"/>
      <c r="GW35" s="278"/>
      <c r="GX35" s="278"/>
      <c r="GY35" s="278"/>
      <c r="GZ35" s="278"/>
      <c r="HA35" s="278"/>
      <c r="HB35" s="278"/>
      <c r="HC35" s="278"/>
      <c r="HD35" s="278"/>
      <c r="HE35" s="278"/>
      <c r="HF35" s="278"/>
      <c r="HG35" s="278"/>
      <c r="HH35" s="278"/>
      <c r="HI35" s="278"/>
      <c r="HJ35" s="278"/>
      <c r="HK35" s="278"/>
      <c r="HL35" s="278"/>
      <c r="HM35" s="278"/>
      <c r="HN35" s="278"/>
      <c r="HO35" s="278"/>
      <c r="HP35" s="278"/>
      <c r="HQ35" s="278"/>
      <c r="HR35" s="278"/>
      <c r="HS35" s="278"/>
      <c r="HT35" s="278"/>
      <c r="HU35" s="278"/>
      <c r="HV35" s="278"/>
      <c r="HW35" s="278"/>
      <c r="HX35" s="278"/>
      <c r="HY35" s="278"/>
      <c r="HZ35" s="278"/>
      <c r="IA35" s="278"/>
      <c r="IB35" s="278"/>
      <c r="IC35" s="278"/>
      <c r="ID35" s="278"/>
      <c r="IE35" s="278"/>
      <c r="IF35" s="278"/>
      <c r="IG35" s="278"/>
      <c r="IH35" s="278"/>
      <c r="II35" s="278"/>
      <c r="IJ35" s="278"/>
      <c r="IK35" s="278"/>
      <c r="IL35" s="278"/>
      <c r="IM35" s="278"/>
      <c r="IN35" s="278"/>
      <c r="IO35" s="278"/>
      <c r="IP35" s="278"/>
      <c r="IQ35" s="278"/>
      <c r="IR35" s="278"/>
      <c r="IS35" s="278"/>
      <c r="IT35" s="278"/>
      <c r="IU35" s="278"/>
    </row>
    <row r="36" spans="9:255" ht="15">
      <c r="I36" s="276"/>
      <c r="J36" s="636"/>
      <c r="K36" s="636"/>
      <c r="L36" s="636"/>
      <c r="M36" s="636"/>
      <c r="N36" s="636"/>
      <c r="O36" s="277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  <c r="EC36" s="278"/>
      <c r="ED36" s="278"/>
      <c r="EE36" s="278"/>
      <c r="EF36" s="278"/>
      <c r="EG36" s="278"/>
      <c r="EH36" s="278"/>
      <c r="EI36" s="278"/>
      <c r="EJ36" s="278"/>
      <c r="EK36" s="278"/>
      <c r="EL36" s="278"/>
      <c r="EM36" s="278"/>
      <c r="EN36" s="278"/>
      <c r="EO36" s="278"/>
      <c r="EP36" s="278"/>
      <c r="EQ36" s="278"/>
      <c r="ER36" s="278"/>
      <c r="ES36" s="278"/>
      <c r="ET36" s="278"/>
      <c r="EU36" s="278"/>
      <c r="EV36" s="278"/>
      <c r="EW36" s="278"/>
      <c r="EX36" s="278"/>
      <c r="EY36" s="278"/>
      <c r="EZ36" s="278"/>
      <c r="FA36" s="278"/>
      <c r="FB36" s="278"/>
      <c r="FC36" s="278"/>
      <c r="FD36" s="278"/>
      <c r="FE36" s="278"/>
      <c r="FF36" s="278"/>
      <c r="FG36" s="278"/>
      <c r="FH36" s="278"/>
      <c r="FI36" s="278"/>
      <c r="FJ36" s="278"/>
      <c r="FK36" s="278"/>
      <c r="FL36" s="278"/>
      <c r="FM36" s="278"/>
      <c r="FN36" s="278"/>
      <c r="FO36" s="278"/>
      <c r="FP36" s="278"/>
      <c r="FQ36" s="278"/>
      <c r="FR36" s="278"/>
      <c r="FS36" s="278"/>
      <c r="FT36" s="278"/>
      <c r="FU36" s="278"/>
      <c r="FV36" s="278"/>
      <c r="FW36" s="278"/>
      <c r="FX36" s="278"/>
      <c r="FY36" s="278"/>
      <c r="FZ36" s="278"/>
      <c r="GA36" s="278"/>
      <c r="GB36" s="278"/>
      <c r="GC36" s="278"/>
      <c r="GD36" s="278"/>
      <c r="GE36" s="278"/>
      <c r="GF36" s="278"/>
      <c r="GG36" s="278"/>
      <c r="GH36" s="278"/>
      <c r="GI36" s="278"/>
      <c r="GJ36" s="278"/>
      <c r="GK36" s="278"/>
      <c r="GL36" s="278"/>
      <c r="GM36" s="278"/>
      <c r="GN36" s="278"/>
      <c r="GO36" s="278"/>
      <c r="GP36" s="278"/>
      <c r="GQ36" s="278"/>
      <c r="GR36" s="278"/>
      <c r="GS36" s="278"/>
      <c r="GT36" s="278"/>
      <c r="GU36" s="278"/>
      <c r="GV36" s="278"/>
      <c r="GW36" s="278"/>
      <c r="GX36" s="278"/>
      <c r="GY36" s="278"/>
      <c r="GZ36" s="278"/>
      <c r="HA36" s="278"/>
      <c r="HB36" s="278"/>
      <c r="HC36" s="278"/>
      <c r="HD36" s="278"/>
      <c r="HE36" s="278"/>
      <c r="HF36" s="278"/>
      <c r="HG36" s="278"/>
      <c r="HH36" s="278"/>
      <c r="HI36" s="278"/>
      <c r="HJ36" s="278"/>
      <c r="HK36" s="278"/>
      <c r="HL36" s="278"/>
      <c r="HM36" s="278"/>
      <c r="HN36" s="278"/>
      <c r="HO36" s="278"/>
      <c r="HP36" s="278"/>
      <c r="HQ36" s="278"/>
      <c r="HR36" s="278"/>
      <c r="HS36" s="278"/>
      <c r="HT36" s="278"/>
      <c r="HU36" s="278"/>
      <c r="HV36" s="278"/>
      <c r="HW36" s="278"/>
      <c r="HX36" s="278"/>
      <c r="HY36" s="278"/>
      <c r="HZ36" s="278"/>
      <c r="IA36" s="278"/>
      <c r="IB36" s="278"/>
      <c r="IC36" s="278"/>
      <c r="ID36" s="278"/>
      <c r="IE36" s="278"/>
      <c r="IF36" s="278"/>
      <c r="IG36" s="278"/>
      <c r="IH36" s="278"/>
      <c r="II36" s="278"/>
      <c r="IJ36" s="278"/>
      <c r="IK36" s="278"/>
      <c r="IL36" s="278"/>
      <c r="IM36" s="278"/>
      <c r="IN36" s="278"/>
      <c r="IO36" s="278"/>
      <c r="IP36" s="278"/>
      <c r="IQ36" s="278"/>
      <c r="IR36" s="278"/>
      <c r="IS36" s="278"/>
      <c r="IT36" s="278"/>
      <c r="IU36" s="278"/>
    </row>
    <row r="37" spans="9:255" ht="22.5" customHeight="1">
      <c r="I37" s="276"/>
      <c r="J37" s="637" t="str">
        <f>"5) A Administração Local deverá ser discriminada na planilha de custos diretos com os percentuais regido pelo ACÓRDÃO nº 2622/2013 do TCU - Plenário conforme a tabela abaixo para "&amp;$Q$7&amp;":"</f>
        <v>5) A Administração Local deverá ser discriminada na planilha de custos diretos com os percentuais regido pelo ACÓRDÃO nº 2622/2013 do TCU - Plenário conforme a tabela abaixo para Construção de Edifícios :</v>
      </c>
      <c r="K37" s="638"/>
      <c r="L37" s="638"/>
      <c r="M37" s="638"/>
      <c r="N37" s="638"/>
      <c r="O37" s="277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8"/>
      <c r="EF37" s="278"/>
      <c r="EG37" s="278"/>
      <c r="EH37" s="278"/>
      <c r="EI37" s="278"/>
      <c r="EJ37" s="278"/>
      <c r="EK37" s="278"/>
      <c r="EL37" s="278"/>
      <c r="EM37" s="278"/>
      <c r="EN37" s="278"/>
      <c r="EO37" s="278"/>
      <c r="EP37" s="278"/>
      <c r="EQ37" s="278"/>
      <c r="ER37" s="278"/>
      <c r="ES37" s="278"/>
      <c r="ET37" s="278"/>
      <c r="EU37" s="278"/>
      <c r="EV37" s="278"/>
      <c r="EW37" s="278"/>
      <c r="EX37" s="278"/>
      <c r="EY37" s="278"/>
      <c r="EZ37" s="278"/>
      <c r="FA37" s="278"/>
      <c r="FB37" s="278"/>
      <c r="FC37" s="278"/>
      <c r="FD37" s="278"/>
      <c r="FE37" s="278"/>
      <c r="FF37" s="278"/>
      <c r="FG37" s="278"/>
      <c r="FH37" s="278"/>
      <c r="FI37" s="278"/>
      <c r="FJ37" s="278"/>
      <c r="FK37" s="278"/>
      <c r="FL37" s="278"/>
      <c r="FM37" s="278"/>
      <c r="FN37" s="278"/>
      <c r="FO37" s="278"/>
      <c r="FP37" s="278"/>
      <c r="FQ37" s="278"/>
      <c r="FR37" s="278"/>
      <c r="FS37" s="278"/>
      <c r="FT37" s="278"/>
      <c r="FU37" s="278"/>
      <c r="FV37" s="278"/>
      <c r="FW37" s="278"/>
      <c r="FX37" s="278"/>
      <c r="FY37" s="278"/>
      <c r="FZ37" s="278"/>
      <c r="GA37" s="278"/>
      <c r="GB37" s="278"/>
      <c r="GC37" s="278"/>
      <c r="GD37" s="278"/>
      <c r="GE37" s="278"/>
      <c r="GF37" s="278"/>
      <c r="GG37" s="278"/>
      <c r="GH37" s="278"/>
      <c r="GI37" s="278"/>
      <c r="GJ37" s="278"/>
      <c r="GK37" s="278"/>
      <c r="GL37" s="278"/>
      <c r="GM37" s="278"/>
      <c r="GN37" s="278"/>
      <c r="GO37" s="278"/>
      <c r="GP37" s="278"/>
      <c r="GQ37" s="278"/>
      <c r="GR37" s="278"/>
      <c r="GS37" s="278"/>
      <c r="GT37" s="278"/>
      <c r="GU37" s="278"/>
      <c r="GV37" s="278"/>
      <c r="GW37" s="278"/>
      <c r="GX37" s="278"/>
      <c r="GY37" s="278"/>
      <c r="GZ37" s="278"/>
      <c r="HA37" s="278"/>
      <c r="HB37" s="278"/>
      <c r="HC37" s="278"/>
      <c r="HD37" s="278"/>
      <c r="HE37" s="278"/>
      <c r="HF37" s="278"/>
      <c r="HG37" s="278"/>
      <c r="HH37" s="278"/>
      <c r="HI37" s="278"/>
      <c r="HJ37" s="278"/>
      <c r="HK37" s="278"/>
      <c r="HL37" s="278"/>
      <c r="HM37" s="278"/>
      <c r="HN37" s="278"/>
      <c r="HO37" s="278"/>
      <c r="HP37" s="278"/>
      <c r="HQ37" s="278"/>
      <c r="HR37" s="278"/>
      <c r="HS37" s="278"/>
      <c r="HT37" s="278"/>
      <c r="HU37" s="278"/>
      <c r="HV37" s="278"/>
      <c r="HW37" s="278"/>
      <c r="HX37" s="278"/>
      <c r="HY37" s="278"/>
      <c r="HZ37" s="278"/>
      <c r="IA37" s="278"/>
      <c r="IB37" s="278"/>
      <c r="IC37" s="278"/>
      <c r="ID37" s="278"/>
      <c r="IE37" s="278"/>
      <c r="IF37" s="278"/>
      <c r="IG37" s="278"/>
      <c r="IH37" s="278"/>
      <c r="II37" s="278"/>
      <c r="IJ37" s="278"/>
      <c r="IK37" s="278"/>
      <c r="IL37" s="278"/>
      <c r="IM37" s="278"/>
      <c r="IN37" s="278"/>
      <c r="IO37" s="278"/>
      <c r="IP37" s="278"/>
      <c r="IQ37" s="278"/>
      <c r="IR37" s="278"/>
      <c r="IS37" s="278"/>
      <c r="IT37" s="278"/>
      <c r="IU37" s="278"/>
    </row>
    <row r="38" spans="9:255" ht="36" customHeight="1">
      <c r="I38" s="276"/>
      <c r="J38" s="638"/>
      <c r="K38" s="638"/>
      <c r="L38" s="638"/>
      <c r="M38" s="638"/>
      <c r="N38" s="638"/>
      <c r="O38" s="277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  <c r="EC38" s="278"/>
      <c r="ED38" s="278"/>
      <c r="EE38" s="278"/>
      <c r="EF38" s="278"/>
      <c r="EG38" s="278"/>
      <c r="EH38" s="278"/>
      <c r="EI38" s="278"/>
      <c r="EJ38" s="278"/>
      <c r="EK38" s="278"/>
      <c r="EL38" s="278"/>
      <c r="EM38" s="278"/>
      <c r="EN38" s="278"/>
      <c r="EO38" s="278"/>
      <c r="EP38" s="278"/>
      <c r="EQ38" s="278"/>
      <c r="ER38" s="278"/>
      <c r="ES38" s="278"/>
      <c r="ET38" s="278"/>
      <c r="EU38" s="278"/>
      <c r="EV38" s="278"/>
      <c r="EW38" s="278"/>
      <c r="EX38" s="278"/>
      <c r="EY38" s="278"/>
      <c r="EZ38" s="278"/>
      <c r="FA38" s="278"/>
      <c r="FB38" s="278"/>
      <c r="FC38" s="278"/>
      <c r="FD38" s="278"/>
      <c r="FE38" s="278"/>
      <c r="FF38" s="278"/>
      <c r="FG38" s="278"/>
      <c r="FH38" s="278"/>
      <c r="FI38" s="278"/>
      <c r="FJ38" s="278"/>
      <c r="FK38" s="278"/>
      <c r="FL38" s="278"/>
      <c r="FM38" s="278"/>
      <c r="FN38" s="278"/>
      <c r="FO38" s="278"/>
      <c r="FP38" s="278"/>
      <c r="FQ38" s="278"/>
      <c r="FR38" s="278"/>
      <c r="FS38" s="278"/>
      <c r="FT38" s="278"/>
      <c r="FU38" s="278"/>
      <c r="FV38" s="278"/>
      <c r="FW38" s="278"/>
      <c r="FX38" s="278"/>
      <c r="FY38" s="278"/>
      <c r="FZ38" s="278"/>
      <c r="GA38" s="278"/>
      <c r="GB38" s="278"/>
      <c r="GC38" s="278"/>
      <c r="GD38" s="278"/>
      <c r="GE38" s="278"/>
      <c r="GF38" s="278"/>
      <c r="GG38" s="278"/>
      <c r="GH38" s="278"/>
      <c r="GI38" s="278"/>
      <c r="GJ38" s="278"/>
      <c r="GK38" s="278"/>
      <c r="GL38" s="278"/>
      <c r="GM38" s="278"/>
      <c r="GN38" s="278"/>
      <c r="GO38" s="278"/>
      <c r="GP38" s="278"/>
      <c r="GQ38" s="278"/>
      <c r="GR38" s="278"/>
      <c r="GS38" s="278"/>
      <c r="GT38" s="278"/>
      <c r="GU38" s="278"/>
      <c r="GV38" s="278"/>
      <c r="GW38" s="278"/>
      <c r="GX38" s="278"/>
      <c r="GY38" s="278"/>
      <c r="GZ38" s="278"/>
      <c r="HA38" s="278"/>
      <c r="HB38" s="278"/>
      <c r="HC38" s="278"/>
      <c r="HD38" s="278"/>
      <c r="HE38" s="278"/>
      <c r="HF38" s="278"/>
      <c r="HG38" s="278"/>
      <c r="HH38" s="278"/>
      <c r="HI38" s="278"/>
      <c r="HJ38" s="278"/>
      <c r="HK38" s="278"/>
      <c r="HL38" s="278"/>
      <c r="HM38" s="278"/>
      <c r="HN38" s="278"/>
      <c r="HO38" s="278"/>
      <c r="HP38" s="278"/>
      <c r="HQ38" s="278"/>
      <c r="HR38" s="278"/>
      <c r="HS38" s="278"/>
      <c r="HT38" s="278"/>
      <c r="HU38" s="278"/>
      <c r="HV38" s="278"/>
      <c r="HW38" s="278"/>
      <c r="HX38" s="278"/>
      <c r="HY38" s="278"/>
      <c r="HZ38" s="278"/>
      <c r="IA38" s="278"/>
      <c r="IB38" s="278"/>
      <c r="IC38" s="278"/>
      <c r="ID38" s="278"/>
      <c r="IE38" s="278"/>
      <c r="IF38" s="278"/>
      <c r="IG38" s="278"/>
      <c r="IH38" s="278"/>
      <c r="II38" s="278"/>
      <c r="IJ38" s="278"/>
      <c r="IK38" s="278"/>
      <c r="IL38" s="278"/>
      <c r="IM38" s="278"/>
      <c r="IN38" s="278"/>
      <c r="IO38" s="278"/>
      <c r="IP38" s="278"/>
      <c r="IQ38" s="278"/>
      <c r="IR38" s="278"/>
      <c r="IS38" s="278"/>
      <c r="IT38" s="278"/>
      <c r="IU38" s="278"/>
    </row>
    <row r="39" spans="9:255" ht="15.75" thickBot="1">
      <c r="I39" s="276"/>
      <c r="J39" s="278"/>
      <c r="K39" s="278"/>
      <c r="L39" s="278"/>
      <c r="M39" s="278"/>
      <c r="N39" s="278"/>
      <c r="O39" s="277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/>
      <c r="DE39" s="278"/>
      <c r="DF39" s="278"/>
      <c r="DG39" s="278"/>
      <c r="DH39" s="278"/>
      <c r="DI39" s="278"/>
      <c r="DJ39" s="278"/>
      <c r="DK39" s="278"/>
      <c r="DL39" s="278"/>
      <c r="DM39" s="278"/>
      <c r="DN39" s="278"/>
      <c r="DO39" s="278"/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  <c r="EB39" s="278"/>
      <c r="EC39" s="278"/>
      <c r="ED39" s="278"/>
      <c r="EE39" s="278"/>
      <c r="EF39" s="278"/>
      <c r="EG39" s="278"/>
      <c r="EH39" s="278"/>
      <c r="EI39" s="278"/>
      <c r="EJ39" s="278"/>
      <c r="EK39" s="278"/>
      <c r="EL39" s="278"/>
      <c r="EM39" s="278"/>
      <c r="EN39" s="278"/>
      <c r="EO39" s="278"/>
      <c r="EP39" s="278"/>
      <c r="EQ39" s="278"/>
      <c r="ER39" s="278"/>
      <c r="ES39" s="278"/>
      <c r="ET39" s="278"/>
      <c r="EU39" s="278"/>
      <c r="EV39" s="278"/>
      <c r="EW39" s="278"/>
      <c r="EX39" s="278"/>
      <c r="EY39" s="278"/>
      <c r="EZ39" s="278"/>
      <c r="FA39" s="278"/>
      <c r="FB39" s="278"/>
      <c r="FC39" s="278"/>
      <c r="FD39" s="278"/>
      <c r="FE39" s="278"/>
      <c r="FF39" s="278"/>
      <c r="FG39" s="278"/>
      <c r="FH39" s="278"/>
      <c r="FI39" s="278"/>
      <c r="FJ39" s="278"/>
      <c r="FK39" s="278"/>
      <c r="FL39" s="278"/>
      <c r="FM39" s="278"/>
      <c r="FN39" s="278"/>
      <c r="FO39" s="278"/>
      <c r="FP39" s="278"/>
      <c r="FQ39" s="278"/>
      <c r="FR39" s="278"/>
      <c r="FS39" s="278"/>
      <c r="FT39" s="278"/>
      <c r="FU39" s="278"/>
      <c r="FV39" s="278"/>
      <c r="FW39" s="278"/>
      <c r="FX39" s="278"/>
      <c r="FY39" s="278"/>
      <c r="FZ39" s="278"/>
      <c r="GA39" s="278"/>
      <c r="GB39" s="278"/>
      <c r="GC39" s="278"/>
      <c r="GD39" s="278"/>
      <c r="GE39" s="278"/>
      <c r="GF39" s="278"/>
      <c r="GG39" s="278"/>
      <c r="GH39" s="278"/>
      <c r="GI39" s="278"/>
      <c r="GJ39" s="278"/>
      <c r="GK39" s="278"/>
      <c r="GL39" s="278"/>
      <c r="GM39" s="278"/>
      <c r="GN39" s="278"/>
      <c r="GO39" s="278"/>
      <c r="GP39" s="278"/>
      <c r="GQ39" s="278"/>
      <c r="GR39" s="278"/>
      <c r="GS39" s="278"/>
      <c r="GT39" s="278"/>
      <c r="GU39" s="278"/>
      <c r="GV39" s="278"/>
      <c r="GW39" s="278"/>
      <c r="GX39" s="278"/>
      <c r="GY39" s="278"/>
      <c r="GZ39" s="278"/>
      <c r="HA39" s="278"/>
      <c r="HB39" s="278"/>
      <c r="HC39" s="278"/>
      <c r="HD39" s="278"/>
      <c r="HE39" s="278"/>
      <c r="HF39" s="278"/>
      <c r="HG39" s="278"/>
      <c r="HH39" s="278"/>
      <c r="HI39" s="278"/>
      <c r="HJ39" s="278"/>
      <c r="HK39" s="278"/>
      <c r="HL39" s="278"/>
      <c r="HM39" s="278"/>
      <c r="HN39" s="278"/>
      <c r="HO39" s="278"/>
      <c r="HP39" s="278"/>
      <c r="HQ39" s="278"/>
      <c r="HR39" s="278"/>
      <c r="HS39" s="278"/>
      <c r="HT39" s="278"/>
      <c r="HU39" s="278"/>
      <c r="HV39" s="278"/>
      <c r="HW39" s="278"/>
      <c r="HX39" s="278"/>
      <c r="HY39" s="278"/>
      <c r="HZ39" s="278"/>
      <c r="IA39" s="278"/>
      <c r="IB39" s="278"/>
      <c r="IC39" s="278"/>
      <c r="ID39" s="278"/>
      <c r="IE39" s="278"/>
      <c r="IF39" s="278"/>
      <c r="IG39" s="278"/>
      <c r="IH39" s="278"/>
      <c r="II39" s="278"/>
      <c r="IJ39" s="278"/>
      <c r="IK39" s="278"/>
      <c r="IL39" s="278"/>
      <c r="IM39" s="278"/>
      <c r="IN39" s="278"/>
      <c r="IO39" s="278"/>
      <c r="IP39" s="278"/>
      <c r="IQ39" s="278"/>
      <c r="IR39" s="278"/>
      <c r="IS39" s="278"/>
      <c r="IT39" s="278"/>
      <c r="IU39" s="278"/>
    </row>
    <row r="40" spans="9:255" ht="15">
      <c r="I40" s="276"/>
      <c r="J40" s="278"/>
      <c r="K40" s="282" t="s">
        <v>35</v>
      </c>
      <c r="L40" s="283" t="s">
        <v>344</v>
      </c>
      <c r="M40" s="283" t="s">
        <v>345</v>
      </c>
      <c r="N40" s="284" t="s">
        <v>346</v>
      </c>
      <c r="O40" s="277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/>
      <c r="DE40" s="278"/>
      <c r="DF40" s="278"/>
      <c r="DG40" s="278"/>
      <c r="DH40" s="278"/>
      <c r="DI40" s="278"/>
      <c r="DJ40" s="278"/>
      <c r="DK40" s="278"/>
      <c r="DL40" s="278"/>
      <c r="DM40" s="278"/>
      <c r="DN40" s="278"/>
      <c r="DO40" s="278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  <c r="EC40" s="278"/>
      <c r="ED40" s="278"/>
      <c r="EE40" s="278"/>
      <c r="EF40" s="278"/>
      <c r="EG40" s="278"/>
      <c r="EH40" s="278"/>
      <c r="EI40" s="278"/>
      <c r="EJ40" s="278"/>
      <c r="EK40" s="278"/>
      <c r="EL40" s="278"/>
      <c r="EM40" s="278"/>
      <c r="EN40" s="278"/>
      <c r="EO40" s="278"/>
      <c r="EP40" s="278"/>
      <c r="EQ40" s="278"/>
      <c r="ER40" s="278"/>
      <c r="ES40" s="278"/>
      <c r="ET40" s="278"/>
      <c r="EU40" s="278"/>
      <c r="EV40" s="278"/>
      <c r="EW40" s="278"/>
      <c r="EX40" s="278"/>
      <c r="EY40" s="278"/>
      <c r="EZ40" s="278"/>
      <c r="FA40" s="278"/>
      <c r="FB40" s="278"/>
      <c r="FC40" s="278"/>
      <c r="FD40" s="278"/>
      <c r="FE40" s="278"/>
      <c r="FF40" s="278"/>
      <c r="FG40" s="278"/>
      <c r="FH40" s="278"/>
      <c r="FI40" s="278"/>
      <c r="FJ40" s="278"/>
      <c r="FK40" s="278"/>
      <c r="FL40" s="278"/>
      <c r="FM40" s="278"/>
      <c r="FN40" s="278"/>
      <c r="FO40" s="278"/>
      <c r="FP40" s="278"/>
      <c r="FQ40" s="278"/>
      <c r="FR40" s="278"/>
      <c r="FS40" s="278"/>
      <c r="FT40" s="278"/>
      <c r="FU40" s="278"/>
      <c r="FV40" s="278"/>
      <c r="FW40" s="278"/>
      <c r="FX40" s="278"/>
      <c r="FY40" s="278"/>
      <c r="FZ40" s="278"/>
      <c r="GA40" s="278"/>
      <c r="GB40" s="278"/>
      <c r="GC40" s="278"/>
      <c r="GD40" s="278"/>
      <c r="GE40" s="278"/>
      <c r="GF40" s="278"/>
      <c r="GG40" s="278"/>
      <c r="GH40" s="278"/>
      <c r="GI40" s="278"/>
      <c r="GJ40" s="278"/>
      <c r="GK40" s="278"/>
      <c r="GL40" s="278"/>
      <c r="GM40" s="278"/>
      <c r="GN40" s="278"/>
      <c r="GO40" s="278"/>
      <c r="GP40" s="278"/>
      <c r="GQ40" s="278"/>
      <c r="GR40" s="278"/>
      <c r="GS40" s="278"/>
      <c r="GT40" s="278"/>
      <c r="GU40" s="278"/>
      <c r="GV40" s="278"/>
      <c r="GW40" s="278"/>
      <c r="GX40" s="278"/>
      <c r="GY40" s="278"/>
      <c r="GZ40" s="278"/>
      <c r="HA40" s="278"/>
      <c r="HB40" s="278"/>
      <c r="HC40" s="278"/>
      <c r="HD40" s="278"/>
      <c r="HE40" s="278"/>
      <c r="HF40" s="278"/>
      <c r="HG40" s="278"/>
      <c r="HH40" s="278"/>
      <c r="HI40" s="278"/>
      <c r="HJ40" s="278"/>
      <c r="HK40" s="278"/>
      <c r="HL40" s="278"/>
      <c r="HM40" s="278"/>
      <c r="HN40" s="278"/>
      <c r="HO40" s="278"/>
      <c r="HP40" s="278"/>
      <c r="HQ40" s="278"/>
      <c r="HR40" s="278"/>
      <c r="HS40" s="278"/>
      <c r="HT40" s="278"/>
      <c r="HU40" s="278"/>
      <c r="HV40" s="278"/>
      <c r="HW40" s="278"/>
      <c r="HX40" s="278"/>
      <c r="HY40" s="278"/>
      <c r="HZ40" s="278"/>
      <c r="IA40" s="278"/>
      <c r="IB40" s="278"/>
      <c r="IC40" s="278"/>
      <c r="ID40" s="278"/>
      <c r="IE40" s="278"/>
      <c r="IF40" s="278"/>
      <c r="IG40" s="278"/>
      <c r="IH40" s="278"/>
      <c r="II40" s="278"/>
      <c r="IJ40" s="278"/>
      <c r="IK40" s="278"/>
      <c r="IL40" s="278"/>
      <c r="IM40" s="278"/>
      <c r="IN40" s="278"/>
      <c r="IO40" s="278"/>
      <c r="IP40" s="278"/>
      <c r="IQ40" s="278"/>
      <c r="IR40" s="278"/>
      <c r="IS40" s="278"/>
      <c r="IT40" s="278"/>
      <c r="IU40" s="278"/>
    </row>
    <row r="41" spans="9:255" ht="15.75" thickBot="1">
      <c r="I41" s="276"/>
      <c r="J41" s="278"/>
      <c r="K41" s="285" t="s">
        <v>236</v>
      </c>
      <c r="L41" s="295">
        <v>0.0185</v>
      </c>
      <c r="M41" s="295">
        <v>0.0505</v>
      </c>
      <c r="N41" s="295">
        <v>0.0745</v>
      </c>
      <c r="O41" s="277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  <c r="FJ41" s="278"/>
      <c r="FK41" s="278"/>
      <c r="FL41" s="278"/>
      <c r="FM41" s="278"/>
      <c r="FN41" s="278"/>
      <c r="FO41" s="278"/>
      <c r="FP41" s="278"/>
      <c r="FQ41" s="278"/>
      <c r="FR41" s="278"/>
      <c r="FS41" s="278"/>
      <c r="FT41" s="278"/>
      <c r="FU41" s="278"/>
      <c r="FV41" s="278"/>
      <c r="FW41" s="278"/>
      <c r="FX41" s="278"/>
      <c r="FY41" s="278"/>
      <c r="FZ41" s="278"/>
      <c r="GA41" s="278"/>
      <c r="GB41" s="278"/>
      <c r="GC41" s="278"/>
      <c r="GD41" s="278"/>
      <c r="GE41" s="278"/>
      <c r="GF41" s="278"/>
      <c r="GG41" s="278"/>
      <c r="GH41" s="278"/>
      <c r="GI41" s="278"/>
      <c r="GJ41" s="278"/>
      <c r="GK41" s="278"/>
      <c r="GL41" s="278"/>
      <c r="GM41" s="278"/>
      <c r="GN41" s="278"/>
      <c r="GO41" s="278"/>
      <c r="GP41" s="278"/>
      <c r="GQ41" s="278"/>
      <c r="GR41" s="278"/>
      <c r="GS41" s="278"/>
      <c r="GT41" s="278"/>
      <c r="GU41" s="278"/>
      <c r="GV41" s="278"/>
      <c r="GW41" s="278"/>
      <c r="GX41" s="278"/>
      <c r="GY41" s="278"/>
      <c r="GZ41" s="278"/>
      <c r="HA41" s="278"/>
      <c r="HB41" s="278"/>
      <c r="HC41" s="278"/>
      <c r="HD41" s="278"/>
      <c r="HE41" s="278"/>
      <c r="HF41" s="278"/>
      <c r="HG41" s="278"/>
      <c r="HH41" s="278"/>
      <c r="HI41" s="278"/>
      <c r="HJ41" s="278"/>
      <c r="HK41" s="278"/>
      <c r="HL41" s="278"/>
      <c r="HM41" s="278"/>
      <c r="HN41" s="278"/>
      <c r="HO41" s="278"/>
      <c r="HP41" s="278"/>
      <c r="HQ41" s="278"/>
      <c r="HR41" s="278"/>
      <c r="HS41" s="278"/>
      <c r="HT41" s="278"/>
      <c r="HU41" s="278"/>
      <c r="HV41" s="278"/>
      <c r="HW41" s="278"/>
      <c r="HX41" s="278"/>
      <c r="HY41" s="278"/>
      <c r="HZ41" s="278"/>
      <c r="IA41" s="278"/>
      <c r="IB41" s="278"/>
      <c r="IC41" s="278"/>
      <c r="ID41" s="278"/>
      <c r="IE41" s="278"/>
      <c r="IF41" s="278"/>
      <c r="IG41" s="278"/>
      <c r="IH41" s="278"/>
      <c r="II41" s="278"/>
      <c r="IJ41" s="278"/>
      <c r="IK41" s="278"/>
      <c r="IL41" s="278"/>
      <c r="IM41" s="278"/>
      <c r="IN41" s="278"/>
      <c r="IO41" s="278"/>
      <c r="IP41" s="278"/>
      <c r="IQ41" s="278"/>
      <c r="IR41" s="278"/>
      <c r="IS41" s="278"/>
      <c r="IT41" s="278"/>
      <c r="IU41" s="278"/>
    </row>
    <row r="42" spans="9:255" ht="15">
      <c r="I42" s="276"/>
      <c r="J42" s="278"/>
      <c r="K42" s="278"/>
      <c r="L42" s="278"/>
      <c r="M42" s="278"/>
      <c r="N42" s="278"/>
      <c r="O42" s="277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/>
      <c r="DR42" s="278"/>
      <c r="DS42" s="278"/>
      <c r="DT42" s="278"/>
      <c r="DU42" s="278"/>
      <c r="DV42" s="278"/>
      <c r="DW42" s="278"/>
      <c r="DX42" s="278"/>
      <c r="DY42" s="278"/>
      <c r="DZ42" s="278"/>
      <c r="EA42" s="278"/>
      <c r="EB42" s="278"/>
      <c r="EC42" s="278"/>
      <c r="ED42" s="278"/>
      <c r="EE42" s="278"/>
      <c r="EF42" s="278"/>
      <c r="EG42" s="278"/>
      <c r="EH42" s="278"/>
      <c r="EI42" s="278"/>
      <c r="EJ42" s="278"/>
      <c r="EK42" s="278"/>
      <c r="EL42" s="278"/>
      <c r="EM42" s="278"/>
      <c r="EN42" s="278"/>
      <c r="EO42" s="278"/>
      <c r="EP42" s="278"/>
      <c r="EQ42" s="278"/>
      <c r="ER42" s="278"/>
      <c r="ES42" s="278"/>
      <c r="ET42" s="278"/>
      <c r="EU42" s="278"/>
      <c r="EV42" s="278"/>
      <c r="EW42" s="278"/>
      <c r="EX42" s="278"/>
      <c r="EY42" s="278"/>
      <c r="EZ42" s="278"/>
      <c r="FA42" s="278"/>
      <c r="FB42" s="278"/>
      <c r="FC42" s="278"/>
      <c r="FD42" s="278"/>
      <c r="FE42" s="278"/>
      <c r="FF42" s="278"/>
      <c r="FG42" s="278"/>
      <c r="FH42" s="278"/>
      <c r="FI42" s="278"/>
      <c r="FJ42" s="278"/>
      <c r="FK42" s="278"/>
      <c r="FL42" s="278"/>
      <c r="FM42" s="278"/>
      <c r="FN42" s="278"/>
      <c r="FO42" s="278"/>
      <c r="FP42" s="278"/>
      <c r="FQ42" s="278"/>
      <c r="FR42" s="278"/>
      <c r="FS42" s="278"/>
      <c r="FT42" s="278"/>
      <c r="FU42" s="278"/>
      <c r="FV42" s="278"/>
      <c r="FW42" s="278"/>
      <c r="FX42" s="278"/>
      <c r="FY42" s="278"/>
      <c r="FZ42" s="278"/>
      <c r="GA42" s="278"/>
      <c r="GB42" s="278"/>
      <c r="GC42" s="278"/>
      <c r="GD42" s="278"/>
      <c r="GE42" s="278"/>
      <c r="GF42" s="278"/>
      <c r="GG42" s="278"/>
      <c r="GH42" s="278"/>
      <c r="GI42" s="278"/>
      <c r="GJ42" s="278"/>
      <c r="GK42" s="278"/>
      <c r="GL42" s="278"/>
      <c r="GM42" s="278"/>
      <c r="GN42" s="278"/>
      <c r="GO42" s="278"/>
      <c r="GP42" s="278"/>
      <c r="GQ42" s="278"/>
      <c r="GR42" s="278"/>
      <c r="GS42" s="278"/>
      <c r="GT42" s="278"/>
      <c r="GU42" s="278"/>
      <c r="GV42" s="278"/>
      <c r="GW42" s="278"/>
      <c r="GX42" s="278"/>
      <c r="GY42" s="278"/>
      <c r="GZ42" s="278"/>
      <c r="HA42" s="278"/>
      <c r="HB42" s="278"/>
      <c r="HC42" s="278"/>
      <c r="HD42" s="278"/>
      <c r="HE42" s="278"/>
      <c r="HF42" s="278"/>
      <c r="HG42" s="278"/>
      <c r="HH42" s="278"/>
      <c r="HI42" s="278"/>
      <c r="HJ42" s="278"/>
      <c r="HK42" s="278"/>
      <c r="HL42" s="278"/>
      <c r="HM42" s="278"/>
      <c r="HN42" s="278"/>
      <c r="HO42" s="278"/>
      <c r="HP42" s="278"/>
      <c r="HQ42" s="278"/>
      <c r="HR42" s="278"/>
      <c r="HS42" s="278"/>
      <c r="HT42" s="278"/>
      <c r="HU42" s="278"/>
      <c r="HV42" s="278"/>
      <c r="HW42" s="278"/>
      <c r="HX42" s="278"/>
      <c r="HY42" s="278"/>
      <c r="HZ42" s="278"/>
      <c r="IA42" s="278"/>
      <c r="IB42" s="278"/>
      <c r="IC42" s="278"/>
      <c r="ID42" s="278"/>
      <c r="IE42" s="278"/>
      <c r="IF42" s="278"/>
      <c r="IG42" s="278"/>
      <c r="IH42" s="278"/>
      <c r="II42" s="278"/>
      <c r="IJ42" s="278"/>
      <c r="IK42" s="278"/>
      <c r="IL42" s="278"/>
      <c r="IM42" s="278"/>
      <c r="IN42" s="278"/>
      <c r="IO42" s="278"/>
      <c r="IP42" s="278"/>
      <c r="IQ42" s="278"/>
      <c r="IR42" s="278"/>
      <c r="IS42" s="278"/>
      <c r="IT42" s="278"/>
      <c r="IU42" s="278"/>
    </row>
    <row r="43" spans="9:255" ht="15">
      <c r="I43" s="276"/>
      <c r="J43" s="637" t="s">
        <v>347</v>
      </c>
      <c r="K43" s="638"/>
      <c r="L43" s="638"/>
      <c r="M43" s="638"/>
      <c r="N43" s="638"/>
      <c r="O43" s="277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8"/>
      <c r="CY43" s="278"/>
      <c r="CZ43" s="278"/>
      <c r="DA43" s="278"/>
      <c r="DB43" s="278"/>
      <c r="DC43" s="278"/>
      <c r="DD43" s="278"/>
      <c r="DE43" s="278"/>
      <c r="DF43" s="278"/>
      <c r="DG43" s="278"/>
      <c r="DH43" s="278"/>
      <c r="DI43" s="278"/>
      <c r="DJ43" s="278"/>
      <c r="DK43" s="278"/>
      <c r="DL43" s="278"/>
      <c r="DM43" s="278"/>
      <c r="DN43" s="278"/>
      <c r="DO43" s="278"/>
      <c r="DP43" s="278"/>
      <c r="DQ43" s="278"/>
      <c r="DR43" s="278"/>
      <c r="DS43" s="278"/>
      <c r="DT43" s="278"/>
      <c r="DU43" s="278"/>
      <c r="DV43" s="278"/>
      <c r="DW43" s="278"/>
      <c r="DX43" s="278"/>
      <c r="DY43" s="278"/>
      <c r="DZ43" s="278"/>
      <c r="EA43" s="278"/>
      <c r="EB43" s="278"/>
      <c r="EC43" s="278"/>
      <c r="ED43" s="278"/>
      <c r="EE43" s="278"/>
      <c r="EF43" s="278"/>
      <c r="EG43" s="278"/>
      <c r="EH43" s="278"/>
      <c r="EI43" s="278"/>
      <c r="EJ43" s="278"/>
      <c r="EK43" s="278"/>
      <c r="EL43" s="278"/>
      <c r="EM43" s="278"/>
      <c r="EN43" s="278"/>
      <c r="EO43" s="278"/>
      <c r="EP43" s="278"/>
      <c r="EQ43" s="278"/>
      <c r="ER43" s="278"/>
      <c r="ES43" s="278"/>
      <c r="ET43" s="278"/>
      <c r="EU43" s="278"/>
      <c r="EV43" s="278"/>
      <c r="EW43" s="278"/>
      <c r="EX43" s="278"/>
      <c r="EY43" s="278"/>
      <c r="EZ43" s="278"/>
      <c r="FA43" s="278"/>
      <c r="FB43" s="278"/>
      <c r="FC43" s="278"/>
      <c r="FD43" s="278"/>
      <c r="FE43" s="278"/>
      <c r="FF43" s="278"/>
      <c r="FG43" s="278"/>
      <c r="FH43" s="278"/>
      <c r="FI43" s="278"/>
      <c r="FJ43" s="278"/>
      <c r="FK43" s="278"/>
      <c r="FL43" s="278"/>
      <c r="FM43" s="278"/>
      <c r="FN43" s="278"/>
      <c r="FO43" s="278"/>
      <c r="FP43" s="278"/>
      <c r="FQ43" s="278"/>
      <c r="FR43" s="278"/>
      <c r="FS43" s="278"/>
      <c r="FT43" s="278"/>
      <c r="FU43" s="278"/>
      <c r="FV43" s="278"/>
      <c r="FW43" s="278"/>
      <c r="FX43" s="278"/>
      <c r="FY43" s="278"/>
      <c r="FZ43" s="278"/>
      <c r="GA43" s="278"/>
      <c r="GB43" s="278"/>
      <c r="GC43" s="278"/>
      <c r="GD43" s="278"/>
      <c r="GE43" s="278"/>
      <c r="GF43" s="278"/>
      <c r="GG43" s="278"/>
      <c r="GH43" s="278"/>
      <c r="GI43" s="278"/>
      <c r="GJ43" s="278"/>
      <c r="GK43" s="278"/>
      <c r="GL43" s="278"/>
      <c r="GM43" s="278"/>
      <c r="GN43" s="278"/>
      <c r="GO43" s="278"/>
      <c r="GP43" s="278"/>
      <c r="GQ43" s="278"/>
      <c r="GR43" s="278"/>
      <c r="GS43" s="278"/>
      <c r="GT43" s="278"/>
      <c r="GU43" s="278"/>
      <c r="GV43" s="278"/>
      <c r="GW43" s="278"/>
      <c r="GX43" s="278"/>
      <c r="GY43" s="278"/>
      <c r="GZ43" s="278"/>
      <c r="HA43" s="278"/>
      <c r="HB43" s="278"/>
      <c r="HC43" s="278"/>
      <c r="HD43" s="278"/>
      <c r="HE43" s="278"/>
      <c r="HF43" s="278"/>
      <c r="HG43" s="278"/>
      <c r="HH43" s="278"/>
      <c r="HI43" s="278"/>
      <c r="HJ43" s="278"/>
      <c r="HK43" s="278"/>
      <c r="HL43" s="278"/>
      <c r="HM43" s="278"/>
      <c r="HN43" s="278"/>
      <c r="HO43" s="278"/>
      <c r="HP43" s="278"/>
      <c r="HQ43" s="278"/>
      <c r="HR43" s="278"/>
      <c r="HS43" s="278"/>
      <c r="HT43" s="278"/>
      <c r="HU43" s="278"/>
      <c r="HV43" s="278"/>
      <c r="HW43" s="278"/>
      <c r="HX43" s="278"/>
      <c r="HY43" s="278"/>
      <c r="HZ43" s="278"/>
      <c r="IA43" s="278"/>
      <c r="IB43" s="278"/>
      <c r="IC43" s="278"/>
      <c r="ID43" s="278"/>
      <c r="IE43" s="278"/>
      <c r="IF43" s="278"/>
      <c r="IG43" s="278"/>
      <c r="IH43" s="278"/>
      <c r="II43" s="278"/>
      <c r="IJ43" s="278"/>
      <c r="IK43" s="278"/>
      <c r="IL43" s="278"/>
      <c r="IM43" s="278"/>
      <c r="IN43" s="278"/>
      <c r="IO43" s="278"/>
      <c r="IP43" s="278"/>
      <c r="IQ43" s="278"/>
      <c r="IR43" s="278"/>
      <c r="IS43" s="278"/>
      <c r="IT43" s="278"/>
      <c r="IU43" s="278"/>
    </row>
    <row r="44" spans="9:255" ht="15.75" thickBot="1">
      <c r="I44" s="286"/>
      <c r="J44" s="639"/>
      <c r="K44" s="639"/>
      <c r="L44" s="639"/>
      <c r="M44" s="639"/>
      <c r="N44" s="639"/>
      <c r="O44" s="287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78"/>
      <c r="DM44" s="278"/>
      <c r="DN44" s="278"/>
      <c r="DO44" s="278"/>
      <c r="DP44" s="278"/>
      <c r="DQ44" s="278"/>
      <c r="DR44" s="278"/>
      <c r="DS44" s="278"/>
      <c r="DT44" s="278"/>
      <c r="DU44" s="278"/>
      <c r="DV44" s="278"/>
      <c r="DW44" s="278"/>
      <c r="DX44" s="278"/>
      <c r="DY44" s="278"/>
      <c r="DZ44" s="278"/>
      <c r="EA44" s="278"/>
      <c r="EB44" s="278"/>
      <c r="EC44" s="278"/>
      <c r="ED44" s="278"/>
      <c r="EE44" s="278"/>
      <c r="EF44" s="278"/>
      <c r="EG44" s="278"/>
      <c r="EH44" s="278"/>
      <c r="EI44" s="278"/>
      <c r="EJ44" s="278"/>
      <c r="EK44" s="278"/>
      <c r="EL44" s="278"/>
      <c r="EM44" s="278"/>
      <c r="EN44" s="278"/>
      <c r="EO44" s="278"/>
      <c r="EP44" s="278"/>
      <c r="EQ44" s="278"/>
      <c r="ER44" s="278"/>
      <c r="ES44" s="278"/>
      <c r="ET44" s="278"/>
      <c r="EU44" s="278"/>
      <c r="EV44" s="278"/>
      <c r="EW44" s="278"/>
      <c r="EX44" s="278"/>
      <c r="EY44" s="278"/>
      <c r="EZ44" s="278"/>
      <c r="FA44" s="278"/>
      <c r="FB44" s="278"/>
      <c r="FC44" s="278"/>
      <c r="FD44" s="278"/>
      <c r="FE44" s="278"/>
      <c r="FF44" s="278"/>
      <c r="FG44" s="278"/>
      <c r="FH44" s="278"/>
      <c r="FI44" s="278"/>
      <c r="FJ44" s="278"/>
      <c r="FK44" s="278"/>
      <c r="FL44" s="278"/>
      <c r="FM44" s="278"/>
      <c r="FN44" s="278"/>
      <c r="FO44" s="278"/>
      <c r="FP44" s="278"/>
      <c r="FQ44" s="278"/>
      <c r="FR44" s="278"/>
      <c r="FS44" s="278"/>
      <c r="FT44" s="278"/>
      <c r="FU44" s="278"/>
      <c r="FV44" s="278"/>
      <c r="FW44" s="278"/>
      <c r="FX44" s="278"/>
      <c r="FY44" s="278"/>
      <c r="FZ44" s="278"/>
      <c r="GA44" s="278"/>
      <c r="GB44" s="278"/>
      <c r="GC44" s="278"/>
      <c r="GD44" s="278"/>
      <c r="GE44" s="278"/>
      <c r="GF44" s="278"/>
      <c r="GG44" s="278"/>
      <c r="GH44" s="278"/>
      <c r="GI44" s="278"/>
      <c r="GJ44" s="278"/>
      <c r="GK44" s="278"/>
      <c r="GL44" s="278"/>
      <c r="GM44" s="278"/>
      <c r="GN44" s="278"/>
      <c r="GO44" s="278"/>
      <c r="GP44" s="278"/>
      <c r="GQ44" s="278"/>
      <c r="GR44" s="278"/>
      <c r="GS44" s="278"/>
      <c r="GT44" s="278"/>
      <c r="GU44" s="278"/>
      <c r="GV44" s="278"/>
      <c r="GW44" s="278"/>
      <c r="GX44" s="278"/>
      <c r="GY44" s="278"/>
      <c r="GZ44" s="278"/>
      <c r="HA44" s="278"/>
      <c r="HB44" s="278"/>
      <c r="HC44" s="278"/>
      <c r="HD44" s="278"/>
      <c r="HE44" s="278"/>
      <c r="HF44" s="278"/>
      <c r="HG44" s="278"/>
      <c r="HH44" s="278"/>
      <c r="HI44" s="278"/>
      <c r="HJ44" s="278"/>
      <c r="HK44" s="278"/>
      <c r="HL44" s="278"/>
      <c r="HM44" s="278"/>
      <c r="HN44" s="278"/>
      <c r="HO44" s="278"/>
      <c r="HP44" s="278"/>
      <c r="HQ44" s="278"/>
      <c r="HR44" s="278"/>
      <c r="HS44" s="278"/>
      <c r="HT44" s="278"/>
      <c r="HU44" s="278"/>
      <c r="HV44" s="278"/>
      <c r="HW44" s="278"/>
      <c r="HX44" s="278"/>
      <c r="HY44" s="278"/>
      <c r="HZ44" s="278"/>
      <c r="IA44" s="278"/>
      <c r="IB44" s="278"/>
      <c r="IC44" s="278"/>
      <c r="ID44" s="278"/>
      <c r="IE44" s="278"/>
      <c r="IF44" s="278"/>
      <c r="IG44" s="278"/>
      <c r="IH44" s="278"/>
      <c r="II44" s="278"/>
      <c r="IJ44" s="278"/>
      <c r="IK44" s="278"/>
      <c r="IL44" s="278"/>
      <c r="IM44" s="278"/>
      <c r="IN44" s="278"/>
      <c r="IO44" s="278"/>
      <c r="IP44" s="278"/>
      <c r="IQ44" s="278"/>
      <c r="IR44" s="278"/>
      <c r="IS44" s="278"/>
      <c r="IT44" s="278"/>
      <c r="IU44" s="278"/>
    </row>
    <row r="47" ht="18.75">
      <c r="J47" s="305" t="s">
        <v>315</v>
      </c>
    </row>
    <row r="48" ht="18.75">
      <c r="J48" s="303" t="s">
        <v>506</v>
      </c>
    </row>
    <row r="49" ht="18.75">
      <c r="J49" s="303" t="s">
        <v>507</v>
      </c>
    </row>
    <row r="50" ht="18.75">
      <c r="J50" s="303" t="s">
        <v>508</v>
      </c>
    </row>
    <row r="51" ht="18.75">
      <c r="J51" s="303" t="s">
        <v>509</v>
      </c>
    </row>
    <row r="52" ht="18.75">
      <c r="J52" s="303" t="s">
        <v>510</v>
      </c>
    </row>
  </sheetData>
  <sheetProtection password="F181" sheet="1" objects="1" scenarios="1" selectLockedCells="1"/>
  <mergeCells count="18">
    <mergeCell ref="K13:L13"/>
    <mergeCell ref="K14:L14"/>
    <mergeCell ref="I6:O6"/>
    <mergeCell ref="K8:L8"/>
    <mergeCell ref="K9:L9"/>
    <mergeCell ref="K10:L10"/>
    <mergeCell ref="K11:L11"/>
    <mergeCell ref="K12:L12"/>
    <mergeCell ref="K15:L15"/>
    <mergeCell ref="J35:N36"/>
    <mergeCell ref="J37:N38"/>
    <mergeCell ref="J43:N44"/>
    <mergeCell ref="K16:L16"/>
    <mergeCell ref="K17:L17"/>
    <mergeCell ref="K18:L18"/>
    <mergeCell ref="J28:N29"/>
    <mergeCell ref="J30:N32"/>
    <mergeCell ref="J33:N34"/>
  </mergeCells>
  <dataValidations count="1">
    <dataValidation type="list" allowBlank="1" showInputMessage="1" showErrorMessage="1" sqref="Q7 Q9">
      <formula1>$J$48:$J$52</formula1>
    </dataValidation>
  </dataValidation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33"/>
  <sheetViews>
    <sheetView showGridLines="0" zoomScalePageLayoutView="0" workbookViewId="0" topLeftCell="A13">
      <selection activeCell="B37" sqref="B37"/>
    </sheetView>
  </sheetViews>
  <sheetFormatPr defaultColWidth="8.8515625" defaultRowHeight="12.75"/>
  <cols>
    <col min="1" max="1" width="8.8515625" style="0" customWidth="1"/>
    <col min="2" max="2" width="41.421875" style="0" customWidth="1"/>
    <col min="3" max="3" width="14.28125" style="0" customWidth="1"/>
    <col min="4" max="5" width="8.8515625" style="0" customWidth="1"/>
    <col min="6" max="6" width="11.8515625" style="0" customWidth="1"/>
    <col min="7" max="7" width="40.140625" style="0" customWidth="1"/>
    <col min="8" max="8" width="12.00390625" style="0" customWidth="1"/>
  </cols>
  <sheetData>
    <row r="1" spans="6:8" ht="12.75">
      <c r="F1" s="658"/>
      <c r="G1" s="658"/>
      <c r="H1" s="658"/>
    </row>
    <row r="2" spans="6:8" ht="12.75">
      <c r="F2" s="658"/>
      <c r="G2" s="658"/>
      <c r="H2" s="658"/>
    </row>
    <row r="3" spans="2:8" ht="16.5">
      <c r="B3" s="656" t="s">
        <v>233</v>
      </c>
      <c r="C3" s="656"/>
      <c r="F3" s="659"/>
      <c r="G3" s="659"/>
      <c r="H3" s="659"/>
    </row>
    <row r="4" spans="2:8" ht="13.5" thickBot="1">
      <c r="B4" s="657"/>
      <c r="C4" s="657"/>
      <c r="F4" s="660" t="s">
        <v>280</v>
      </c>
      <c r="G4" s="661"/>
      <c r="H4" s="662"/>
    </row>
    <row r="5" spans="2:8" ht="17.25" thickBot="1">
      <c r="B5" s="655" t="s">
        <v>234</v>
      </c>
      <c r="C5" s="655"/>
      <c r="F5" s="226" t="s">
        <v>154</v>
      </c>
      <c r="G5" s="227" t="s">
        <v>281</v>
      </c>
      <c r="H5" s="228" t="s">
        <v>270</v>
      </c>
    </row>
    <row r="6" spans="2:8" ht="15" thickBot="1">
      <c r="B6" s="168" t="s">
        <v>235</v>
      </c>
      <c r="C6" s="234">
        <v>0.014</v>
      </c>
      <c r="F6" s="229" t="s">
        <v>11</v>
      </c>
      <c r="G6" s="230"/>
      <c r="H6" s="231"/>
    </row>
    <row r="7" spans="2:8" ht="14.25">
      <c r="B7" s="169" t="s">
        <v>236</v>
      </c>
      <c r="C7" s="234">
        <v>0.012</v>
      </c>
      <c r="F7" s="200">
        <v>1</v>
      </c>
      <c r="G7" s="201" t="s">
        <v>282</v>
      </c>
      <c r="H7" s="202">
        <v>0.0127</v>
      </c>
    </row>
    <row r="8" spans="2:8" ht="14.25">
      <c r="B8" s="169" t="s">
        <v>51</v>
      </c>
      <c r="C8" s="234">
        <v>0.006</v>
      </c>
      <c r="F8" s="203">
        <v>2</v>
      </c>
      <c r="G8" s="204" t="s">
        <v>29</v>
      </c>
      <c r="H8" s="205">
        <v>0.04</v>
      </c>
    </row>
    <row r="9" spans="2:8" ht="14.25">
      <c r="B9" s="169" t="s">
        <v>237</v>
      </c>
      <c r="C9" s="234">
        <v>0.011</v>
      </c>
      <c r="F9" s="232" t="s">
        <v>159</v>
      </c>
      <c r="G9" s="233"/>
      <c r="H9" s="206">
        <f>SUM(H7:H8)</f>
        <v>0.0527</v>
      </c>
    </row>
    <row r="10" spans="2:8" ht="15" thickBot="1">
      <c r="B10" s="169" t="s">
        <v>238</v>
      </c>
      <c r="C10" s="234">
        <v>0.005</v>
      </c>
      <c r="F10" s="207"/>
      <c r="G10" s="208"/>
      <c r="H10" s="209"/>
    </row>
    <row r="11" spans="2:8" ht="15" thickBot="1">
      <c r="B11" s="169" t="s">
        <v>239</v>
      </c>
      <c r="C11" s="234">
        <v>0.011</v>
      </c>
      <c r="F11" s="229" t="s">
        <v>283</v>
      </c>
      <c r="G11" s="230"/>
      <c r="H11" s="231"/>
    </row>
    <row r="12" spans="2:8" ht="14.25">
      <c r="B12" s="170"/>
      <c r="C12" s="171"/>
      <c r="F12" s="200">
        <v>3</v>
      </c>
      <c r="G12" s="210" t="s">
        <v>284</v>
      </c>
      <c r="H12" s="211">
        <v>0.008</v>
      </c>
    </row>
    <row r="13" spans="2:8" ht="16.5">
      <c r="B13" s="655" t="s">
        <v>272</v>
      </c>
      <c r="C13" s="655"/>
      <c r="F13" s="203">
        <v>4</v>
      </c>
      <c r="G13" s="212" t="s">
        <v>285</v>
      </c>
      <c r="H13" s="205">
        <v>0.074</v>
      </c>
    </row>
    <row r="14" spans="2:8" ht="14.25">
      <c r="B14" s="168" t="s">
        <v>273</v>
      </c>
      <c r="C14" s="194">
        <f>SUM(C6:C11)</f>
        <v>0.059</v>
      </c>
      <c r="F14" s="203">
        <v>5</v>
      </c>
      <c r="G14" s="212" t="s">
        <v>286</v>
      </c>
      <c r="H14" s="205">
        <v>0.0123</v>
      </c>
    </row>
    <row r="15" spans="2:8" ht="12.75">
      <c r="B15" s="657"/>
      <c r="C15" s="657"/>
      <c r="F15" s="232" t="s">
        <v>159</v>
      </c>
      <c r="G15" s="233"/>
      <c r="H15" s="206">
        <f>SUM(H12:H14)</f>
        <v>0.0943</v>
      </c>
    </row>
    <row r="16" spans="2:8" ht="13.5" thickBot="1">
      <c r="B16" s="657"/>
      <c r="C16" s="657"/>
      <c r="F16" s="207"/>
      <c r="G16" s="208"/>
      <c r="H16" s="209"/>
    </row>
    <row r="17" spans="2:8" ht="17.25" thickBot="1">
      <c r="B17" s="655" t="s">
        <v>274</v>
      </c>
      <c r="C17" s="655"/>
      <c r="F17" s="229" t="s">
        <v>287</v>
      </c>
      <c r="G17" s="230"/>
      <c r="H17" s="231"/>
    </row>
    <row r="18" spans="2:8" ht="14.25">
      <c r="B18" s="196" t="s">
        <v>240</v>
      </c>
      <c r="C18" s="234">
        <v>0.0965</v>
      </c>
      <c r="F18" s="200">
        <v>6</v>
      </c>
      <c r="G18" s="213" t="s">
        <v>42</v>
      </c>
      <c r="H18" s="202"/>
    </row>
    <row r="19" spans="2:8" ht="14.25">
      <c r="B19" s="169" t="s">
        <v>241</v>
      </c>
      <c r="C19" s="234">
        <v>0.07</v>
      </c>
      <c r="F19" s="203" t="s">
        <v>288</v>
      </c>
      <c r="G19" s="214" t="s">
        <v>289</v>
      </c>
      <c r="H19" s="202">
        <v>0.0065</v>
      </c>
    </row>
    <row r="20" spans="2:8" ht="14.25">
      <c r="B20" s="169" t="s">
        <v>242</v>
      </c>
      <c r="C20" s="234">
        <v>0.006</v>
      </c>
      <c r="F20" s="203" t="s">
        <v>290</v>
      </c>
      <c r="G20" s="214" t="s">
        <v>138</v>
      </c>
      <c r="H20" s="202">
        <v>0.03</v>
      </c>
    </row>
    <row r="21" spans="2:8" ht="14.25">
      <c r="B21" s="169" t="s">
        <v>243</v>
      </c>
      <c r="C21" s="234">
        <v>0.02</v>
      </c>
      <c r="F21" s="203" t="s">
        <v>291</v>
      </c>
      <c r="G21" s="214" t="s">
        <v>292</v>
      </c>
      <c r="H21" s="202">
        <v>0.01</v>
      </c>
    </row>
    <row r="22" spans="6:8" ht="12.75">
      <c r="F22" s="203" t="s">
        <v>293</v>
      </c>
      <c r="G22" s="214" t="s">
        <v>294</v>
      </c>
      <c r="H22" s="202">
        <v>0.05</v>
      </c>
    </row>
    <row r="23" spans="2:8" ht="16.5">
      <c r="B23" s="655" t="s">
        <v>275</v>
      </c>
      <c r="C23" s="655"/>
      <c r="F23" s="232" t="s">
        <v>159</v>
      </c>
      <c r="G23" s="233"/>
      <c r="H23" s="206">
        <f>SUM(H19:H22)</f>
        <v>0.0965</v>
      </c>
    </row>
    <row r="24" spans="2:8" ht="15" thickBot="1">
      <c r="B24" s="168" t="s">
        <v>273</v>
      </c>
      <c r="C24" s="194">
        <f>SUM(C18:C21)</f>
        <v>0.1925</v>
      </c>
      <c r="F24" s="207"/>
      <c r="G24" s="208"/>
      <c r="H24" s="209"/>
    </row>
    <row r="25" spans="6:8" ht="12.75">
      <c r="F25" s="215"/>
      <c r="G25" s="216" t="s">
        <v>295</v>
      </c>
      <c r="H25" s="217">
        <f>(((1+H8+H12/2+H7+H12/2)*(1+H14)*(1+H13))/(1-H23))-1</f>
        <v>0.27637394481460986</v>
      </c>
    </row>
    <row r="26" spans="2:3" ht="16.5">
      <c r="B26" s="655" t="s">
        <v>276</v>
      </c>
      <c r="C26" s="655"/>
    </row>
    <row r="27" spans="2:8" ht="14.25">
      <c r="B27" s="168" t="s">
        <v>168</v>
      </c>
      <c r="C27" s="195">
        <f>C14+C24</f>
        <v>0.2515</v>
      </c>
      <c r="F27" s="218" t="s">
        <v>296</v>
      </c>
      <c r="G27" s="197"/>
      <c r="H27" s="219"/>
    </row>
    <row r="28" spans="6:8" ht="12.75">
      <c r="F28" s="198"/>
      <c r="H28" s="199"/>
    </row>
    <row r="29" spans="6:8" ht="12.75">
      <c r="F29" s="198"/>
      <c r="H29" s="199"/>
    </row>
    <row r="30" spans="6:8" ht="12.75">
      <c r="F30" s="198"/>
      <c r="H30" s="199"/>
    </row>
    <row r="31" spans="6:8" ht="12.75">
      <c r="F31" s="198"/>
      <c r="H31" s="199"/>
    </row>
    <row r="32" spans="6:8" ht="12.75">
      <c r="F32" s="220" t="s">
        <v>297</v>
      </c>
      <c r="G32" s="221"/>
      <c r="H32" s="222"/>
    </row>
    <row r="33" spans="6:8" ht="12.75">
      <c r="F33" s="223"/>
      <c r="G33" s="224"/>
      <c r="H33" s="225"/>
    </row>
  </sheetData>
  <sheetProtection/>
  <mergeCells count="11">
    <mergeCell ref="F1:H3"/>
    <mergeCell ref="F4:H4"/>
    <mergeCell ref="B17:C17"/>
    <mergeCell ref="B23:C23"/>
    <mergeCell ref="B26:C26"/>
    <mergeCell ref="B3:C3"/>
    <mergeCell ref="B4:C4"/>
    <mergeCell ref="B5:C5"/>
    <mergeCell ref="B13:C13"/>
    <mergeCell ref="B15:C15"/>
    <mergeCell ref="B16:C1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H5:I32"/>
  <sheetViews>
    <sheetView showGridLines="0" zoomScalePageLayoutView="0" workbookViewId="0" topLeftCell="A1">
      <selection activeCell="I15" sqref="I15"/>
    </sheetView>
  </sheetViews>
  <sheetFormatPr defaultColWidth="0" defaultRowHeight="12.75" zeroHeight="1"/>
  <cols>
    <col min="1" max="6" width="11.421875" style="238" customWidth="1"/>
    <col min="7" max="7" width="10.7109375" style="238" customWidth="1"/>
    <col min="8" max="8" width="52.7109375" style="239" customWidth="1"/>
    <col min="9" max="9" width="10.7109375" style="240" customWidth="1"/>
    <col min="10" max="10" width="10.7109375" style="238" customWidth="1"/>
    <col min="11" max="17" width="11.421875" style="238" customWidth="1"/>
    <col min="18" max="16384" width="0" style="238" hidden="1" customWidth="1"/>
  </cols>
  <sheetData>
    <row r="1" ht="16.5"/>
    <row r="2" ht="16.5"/>
    <row r="3" ht="16.5"/>
    <row r="4" ht="68.25" customHeight="1" thickBot="1"/>
    <row r="5" spans="8:9" ht="16.5">
      <c r="H5" s="663" t="s">
        <v>303</v>
      </c>
      <c r="I5" s="664"/>
    </row>
    <row r="6" spans="8:9" ht="17.25" thickBot="1">
      <c r="H6" s="665" t="s">
        <v>304</v>
      </c>
      <c r="I6" s="666"/>
    </row>
    <row r="7" spans="8:9" ht="17.25" thickBot="1">
      <c r="H7" s="241"/>
      <c r="I7" s="241"/>
    </row>
    <row r="8" spans="8:9" ht="17.25" thickBot="1">
      <c r="H8" s="667" t="s">
        <v>305</v>
      </c>
      <c r="I8" s="668"/>
    </row>
    <row r="9" spans="8:9" ht="16.5">
      <c r="H9" s="300" t="s">
        <v>460</v>
      </c>
      <c r="I9" s="352">
        <v>0.8</v>
      </c>
    </row>
    <row r="10" spans="8:9" ht="16.5">
      <c r="H10" s="301" t="s">
        <v>306</v>
      </c>
      <c r="I10" s="352">
        <v>0.97</v>
      </c>
    </row>
    <row r="11" spans="8:9" ht="17.25" thickBot="1">
      <c r="H11" s="301" t="s">
        <v>459</v>
      </c>
      <c r="I11" s="352">
        <v>1.11</v>
      </c>
    </row>
    <row r="12" spans="8:9" ht="16.5">
      <c r="H12" s="301" t="s">
        <v>458</v>
      </c>
      <c r="I12" s="351">
        <v>6</v>
      </c>
    </row>
    <row r="13" spans="8:9" ht="16.5">
      <c r="H13" s="301" t="s">
        <v>307</v>
      </c>
      <c r="I13" s="352">
        <v>0</v>
      </c>
    </row>
    <row r="14" spans="8:9" ht="16.5">
      <c r="H14" s="242" t="s">
        <v>308</v>
      </c>
      <c r="I14" s="357">
        <f>SUM(I15:I18)</f>
        <v>0.086</v>
      </c>
    </row>
    <row r="15" spans="8:9" ht="16.5">
      <c r="H15" s="243" t="s">
        <v>309</v>
      </c>
      <c r="I15" s="358">
        <v>0.015</v>
      </c>
    </row>
    <row r="16" spans="8:9" ht="33">
      <c r="H16" s="243" t="s">
        <v>310</v>
      </c>
      <c r="I16" s="358">
        <v>0.015</v>
      </c>
    </row>
    <row r="17" spans="8:9" ht="16.5">
      <c r="H17" s="243" t="s">
        <v>311</v>
      </c>
      <c r="I17" s="358">
        <v>0.011</v>
      </c>
    </row>
    <row r="18" spans="8:9" ht="33.75" thickBot="1">
      <c r="H18" s="244" t="s">
        <v>312</v>
      </c>
      <c r="I18" s="359">
        <v>0.045</v>
      </c>
    </row>
    <row r="19" spans="8:9" ht="17.25" thickBot="1">
      <c r="H19" s="298" t="s">
        <v>313</v>
      </c>
      <c r="I19" s="299">
        <f>ROUND((((1+(I12+I9+I10)/100)*(1+(I11/100))*(1+(I13/100)))/(1-(SUM(I15:I18)/100))-1)*100,2)/100</f>
        <v>0.0906</v>
      </c>
    </row>
    <row r="20" spans="8:9" ht="16.5">
      <c r="H20" s="238"/>
      <c r="I20" s="238"/>
    </row>
    <row r="21" spans="8:9" ht="16.5">
      <c r="H21" s="238"/>
      <c r="I21" s="238"/>
    </row>
    <row r="22" spans="8:9" ht="16.5">
      <c r="H22" s="238"/>
      <c r="I22" s="238"/>
    </row>
    <row r="23" spans="8:9" ht="16.5">
      <c r="H23" s="238"/>
      <c r="I23" s="238"/>
    </row>
    <row r="24" spans="8:9" ht="16.5">
      <c r="H24" s="238"/>
      <c r="I24" s="238"/>
    </row>
    <row r="25" spans="8:9" ht="16.5">
      <c r="H25" s="238"/>
      <c r="I25" s="238"/>
    </row>
    <row r="26" spans="8:9" ht="16.5">
      <c r="H26" s="238"/>
      <c r="I26" s="238"/>
    </row>
    <row r="27" spans="8:9" ht="16.5">
      <c r="H27" s="238"/>
      <c r="I27" s="238"/>
    </row>
    <row r="28" spans="8:9" ht="16.5">
      <c r="H28" s="238"/>
      <c r="I28" s="238"/>
    </row>
    <row r="29" spans="8:9" ht="16.5">
      <c r="H29" s="238"/>
      <c r="I29" s="238"/>
    </row>
    <row r="30" spans="8:9" ht="16.5">
      <c r="H30" s="238"/>
      <c r="I30" s="238"/>
    </row>
    <row r="31" spans="8:9" ht="16.5">
      <c r="H31" s="238"/>
      <c r="I31" s="238"/>
    </row>
    <row r="32" spans="8:9" ht="16.5" hidden="1">
      <c r="H32" s="238"/>
      <c r="I32" s="238"/>
    </row>
    <row r="33" s="238" customFormat="1" ht="16.5" hidden="1"/>
    <row r="34" s="238" customFormat="1" ht="16.5" hidden="1"/>
  </sheetData>
  <sheetProtection password="FE41" sheet="1" objects="1" scenarios="1" selectLockedCells="1"/>
  <mergeCells count="3">
    <mergeCell ref="H5:I5"/>
    <mergeCell ref="H6:I6"/>
    <mergeCell ref="H8:I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Q71"/>
  <sheetViews>
    <sheetView showGridLines="0" zoomScale="70" zoomScaleNormal="70" zoomScalePageLayoutView="0" workbookViewId="0" topLeftCell="A1">
      <selection activeCell="E40" sqref="E40"/>
    </sheetView>
  </sheetViews>
  <sheetFormatPr defaultColWidth="11.421875" defaultRowHeight="12.75"/>
  <cols>
    <col min="1" max="1" width="11.421875" style="316" customWidth="1"/>
    <col min="2" max="2" width="6.421875" style="316" customWidth="1"/>
    <col min="3" max="3" width="17.421875" style="316" customWidth="1"/>
    <col min="4" max="4" width="21.28125" style="316" customWidth="1"/>
    <col min="5" max="5" width="18.57421875" style="316" customWidth="1"/>
    <col min="6" max="6" width="14.00390625" style="316" customWidth="1"/>
    <col min="7" max="7" width="15.28125" style="316" customWidth="1"/>
    <col min="8" max="8" width="13.28125" style="316" bestFit="1" customWidth="1"/>
    <col min="9" max="9" width="15.140625" style="316" customWidth="1"/>
    <col min="10" max="10" width="19.57421875" style="316" customWidth="1"/>
    <col min="11" max="11" width="14.57421875" style="316" customWidth="1"/>
    <col min="12" max="12" width="14.7109375" style="316" customWidth="1"/>
    <col min="13" max="13" width="14.140625" style="316" customWidth="1"/>
    <col min="14" max="14" width="4.7109375" style="316" customWidth="1"/>
    <col min="15" max="15" width="13.140625" style="316" customWidth="1"/>
    <col min="16" max="16384" width="11.421875" style="316" customWidth="1"/>
  </cols>
  <sheetData>
    <row r="2" ht="62.25" customHeight="1"/>
    <row r="3" spans="2:13" ht="12.75">
      <c r="B3" s="673" t="s">
        <v>504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</row>
    <row r="4" spans="2:16" ht="64.5" customHeight="1">
      <c r="B4" s="319" t="s">
        <v>154</v>
      </c>
      <c r="C4" s="686" t="s">
        <v>181</v>
      </c>
      <c r="D4" s="686"/>
      <c r="E4" s="361" t="s">
        <v>501</v>
      </c>
      <c r="F4" s="319" t="s">
        <v>182</v>
      </c>
      <c r="G4" s="362" t="s">
        <v>436</v>
      </c>
      <c r="H4" s="362" t="s">
        <v>185</v>
      </c>
      <c r="I4" s="362" t="s">
        <v>456</v>
      </c>
      <c r="J4" s="362" t="s">
        <v>426</v>
      </c>
      <c r="K4" s="363" t="s">
        <v>502</v>
      </c>
      <c r="L4" s="319" t="s">
        <v>183</v>
      </c>
      <c r="M4" s="364" t="s">
        <v>219</v>
      </c>
      <c r="O4" s="687" t="s">
        <v>186</v>
      </c>
      <c r="P4" s="688"/>
    </row>
    <row r="5" spans="2:16" ht="12.75">
      <c r="B5" s="365">
        <v>1</v>
      </c>
      <c r="C5" s="689" t="s">
        <v>205</v>
      </c>
      <c r="D5" s="690"/>
      <c r="E5" s="366">
        <v>7</v>
      </c>
      <c r="F5" s="367">
        <f>E5*$O$5</f>
        <v>7700</v>
      </c>
      <c r="G5" s="398"/>
      <c r="H5" s="368">
        <v>0.3</v>
      </c>
      <c r="I5" s="368">
        <v>0.1</v>
      </c>
      <c r="J5" s="369">
        <f>'EPIs-EPCs'!P128</f>
        <v>5173.379999999999</v>
      </c>
      <c r="K5" s="367">
        <f>(F5+G5)*(1+H5+I5)+J5</f>
        <v>15953.380000000001</v>
      </c>
      <c r="L5" s="370">
        <f>E23+E29+E36+E52+E44+E61+E71</f>
        <v>0</v>
      </c>
      <c r="M5" s="371">
        <f>K5*(1+L5)</f>
        <v>15953.380000000001</v>
      </c>
      <c r="O5" s="691">
        <v>1100</v>
      </c>
      <c r="P5" s="691"/>
    </row>
    <row r="6" spans="2:13" ht="12.75">
      <c r="B6" s="372">
        <v>2</v>
      </c>
      <c r="C6" s="682" t="s">
        <v>184</v>
      </c>
      <c r="D6" s="683"/>
      <c r="E6" s="366">
        <v>2.5</v>
      </c>
      <c r="F6" s="367">
        <f>E6*$O$5</f>
        <v>2750</v>
      </c>
      <c r="G6" s="399"/>
      <c r="H6" s="373">
        <v>0.3</v>
      </c>
      <c r="I6" s="368">
        <v>0.1</v>
      </c>
      <c r="J6" s="374">
        <f>'EPIs-EPCs'!P97</f>
        <v>4680.579999999999</v>
      </c>
      <c r="K6" s="367">
        <f>(F6+G6)*(1+H6+I6)+J6</f>
        <v>8530.58</v>
      </c>
      <c r="L6" s="370">
        <f>E23+E29+E36+E52+E44+E61+E71</f>
        <v>0</v>
      </c>
      <c r="M6" s="375">
        <f>K6*(1+L6)</f>
        <v>8530.58</v>
      </c>
    </row>
    <row r="7" spans="2:17" ht="12.75" customHeight="1">
      <c r="B7" s="372">
        <v>3</v>
      </c>
      <c r="C7" s="682" t="s">
        <v>217</v>
      </c>
      <c r="D7" s="683"/>
      <c r="E7" s="366">
        <v>2</v>
      </c>
      <c r="F7" s="367">
        <f>E7*$O$5</f>
        <v>2200</v>
      </c>
      <c r="G7" s="399"/>
      <c r="H7" s="373">
        <v>0.3</v>
      </c>
      <c r="I7" s="368">
        <v>0.1</v>
      </c>
      <c r="J7" s="374">
        <f>'EPIs-EPCs'!P51</f>
        <v>3960.59</v>
      </c>
      <c r="K7" s="367">
        <f>(F7+G7)*(1+H7+I7)+J7</f>
        <v>7040.59</v>
      </c>
      <c r="L7" s="370">
        <f>E23+E29+E36+E52+E44+E61+E71</f>
        <v>0</v>
      </c>
      <c r="M7" s="375">
        <f>K7*(1+L7)</f>
        <v>7040.59</v>
      </c>
      <c r="O7" s="684" t="s">
        <v>212</v>
      </c>
      <c r="P7" s="685"/>
      <c r="Q7" s="685"/>
    </row>
    <row r="8" spans="2:17" ht="12.75">
      <c r="B8" s="372">
        <v>4</v>
      </c>
      <c r="C8" s="682" t="s">
        <v>271</v>
      </c>
      <c r="D8" s="683"/>
      <c r="E8" s="366">
        <v>1.5</v>
      </c>
      <c r="F8" s="367">
        <f>E8*$O$5</f>
        <v>1650</v>
      </c>
      <c r="G8" s="400"/>
      <c r="H8" s="373">
        <v>0.3</v>
      </c>
      <c r="I8" s="368">
        <v>0.1</v>
      </c>
      <c r="J8" s="374">
        <f>'EPIs-EPCs'!P114</f>
        <v>1092.7</v>
      </c>
      <c r="K8" s="367">
        <f>(F8+G8)*(1+H8+I8)+J8</f>
        <v>3402.7</v>
      </c>
      <c r="L8" s="370">
        <f>E23+E29+E36+E52+E44+E61+E71</f>
        <v>0</v>
      </c>
      <c r="M8" s="375">
        <f>K8*(1+L8)</f>
        <v>3402.7</v>
      </c>
      <c r="O8" s="376" t="s">
        <v>207</v>
      </c>
      <c r="P8" s="377">
        <v>8</v>
      </c>
      <c r="Q8" s="378" t="s">
        <v>209</v>
      </c>
    </row>
    <row r="9" spans="2:17" ht="12.75">
      <c r="B9" s="379"/>
      <c r="C9" s="380"/>
      <c r="D9" s="380"/>
      <c r="E9" s="381"/>
      <c r="F9" s="382"/>
      <c r="G9" s="382"/>
      <c r="H9" s="381"/>
      <c r="I9" s="381"/>
      <c r="J9" s="381"/>
      <c r="K9" s="382"/>
      <c r="L9" s="383"/>
      <c r="O9" s="378" t="s">
        <v>208</v>
      </c>
      <c r="P9" s="384">
        <v>22</v>
      </c>
      <c r="Q9" s="378" t="s">
        <v>210</v>
      </c>
    </row>
    <row r="10" spans="2:17" ht="12.75">
      <c r="B10" s="673" t="s">
        <v>214</v>
      </c>
      <c r="C10" s="673"/>
      <c r="D10" s="673"/>
      <c r="E10" s="673"/>
      <c r="F10" s="673"/>
      <c r="G10" s="673"/>
      <c r="H10" s="673"/>
      <c r="I10" s="382"/>
      <c r="J10" s="382"/>
      <c r="K10" s="382"/>
      <c r="L10" s="383"/>
      <c r="O10" s="378" t="s">
        <v>159</v>
      </c>
      <c r="P10" s="384">
        <f>P8*P9</f>
        <v>176</v>
      </c>
      <c r="Q10" s="378" t="s">
        <v>211</v>
      </c>
    </row>
    <row r="11" spans="2:17" ht="51">
      <c r="B11" s="319" t="s">
        <v>154</v>
      </c>
      <c r="C11" s="686" t="s">
        <v>181</v>
      </c>
      <c r="D11" s="686"/>
      <c r="E11" s="362" t="s">
        <v>503</v>
      </c>
      <c r="F11" s="362" t="s">
        <v>213</v>
      </c>
      <c r="G11" s="385"/>
      <c r="H11" s="364" t="s">
        <v>215</v>
      </c>
      <c r="I11" s="386"/>
      <c r="J11" s="386"/>
      <c r="K11" s="382"/>
      <c r="L11" s="383"/>
      <c r="O11" s="387"/>
      <c r="P11" s="388"/>
      <c r="Q11" s="380"/>
    </row>
    <row r="12" spans="2:17" ht="12.75">
      <c r="B12" s="372">
        <v>1</v>
      </c>
      <c r="C12" s="680" t="s">
        <v>205</v>
      </c>
      <c r="D12" s="680"/>
      <c r="E12" s="389">
        <f>M5/$P$10</f>
        <v>90.64420454545456</v>
      </c>
      <c r="F12" s="390">
        <v>8</v>
      </c>
      <c r="G12" s="372"/>
      <c r="H12" s="371">
        <f>E12*$P$9*F12</f>
        <v>15953.380000000001</v>
      </c>
      <c r="I12" s="381"/>
      <c r="J12" s="381"/>
      <c r="K12" s="382"/>
      <c r="L12" s="383"/>
      <c r="O12" s="387"/>
      <c r="P12" s="388"/>
      <c r="Q12" s="380"/>
    </row>
    <row r="13" spans="2:17" ht="12.75">
      <c r="B13" s="372">
        <v>2</v>
      </c>
      <c r="C13" s="680" t="s">
        <v>184</v>
      </c>
      <c r="D13" s="680"/>
      <c r="E13" s="391">
        <f>M6/$P$10</f>
        <v>48.469204545454545</v>
      </c>
      <c r="F13" s="390">
        <v>8</v>
      </c>
      <c r="G13" s="372"/>
      <c r="H13" s="371">
        <f>E13*$P$9*F13</f>
        <v>8530.58</v>
      </c>
      <c r="I13" s="381"/>
      <c r="J13" s="381"/>
      <c r="K13" s="382"/>
      <c r="L13" s="383"/>
      <c r="O13" s="387"/>
      <c r="P13" s="388"/>
      <c r="Q13" s="380"/>
    </row>
    <row r="14" spans="2:17" ht="12.75">
      <c r="B14" s="372">
        <v>3</v>
      </c>
      <c r="C14" s="680" t="s">
        <v>217</v>
      </c>
      <c r="D14" s="680"/>
      <c r="E14" s="391">
        <f>M7/$P$10</f>
        <v>40.00335227272728</v>
      </c>
      <c r="F14" s="390">
        <v>8</v>
      </c>
      <c r="G14" s="372"/>
      <c r="H14" s="371">
        <f>E14*$P$9*F14</f>
        <v>7040.590000000001</v>
      </c>
      <c r="I14" s="381"/>
      <c r="J14" s="381"/>
      <c r="O14" s="379"/>
      <c r="P14" s="379"/>
      <c r="Q14" s="379"/>
    </row>
    <row r="15" spans="2:17" ht="12.75">
      <c r="B15" s="372">
        <v>4</v>
      </c>
      <c r="C15" s="680" t="s">
        <v>271</v>
      </c>
      <c r="D15" s="680"/>
      <c r="E15" s="391">
        <f>M8/$P$10</f>
        <v>19.333522727272726</v>
      </c>
      <c r="F15" s="390">
        <v>8</v>
      </c>
      <c r="G15" s="372"/>
      <c r="H15" s="371">
        <f>E15*$P$9*F15</f>
        <v>3402.7</v>
      </c>
      <c r="I15" s="381"/>
      <c r="J15" s="381"/>
      <c r="O15" s="380"/>
      <c r="P15" s="379"/>
      <c r="Q15" s="380"/>
    </row>
    <row r="17" spans="2:12" ht="15">
      <c r="B17" s="681" t="s">
        <v>187</v>
      </c>
      <c r="C17" s="681"/>
      <c r="D17" s="681"/>
      <c r="E17" s="681"/>
      <c r="F17" s="681"/>
      <c r="G17" s="681"/>
      <c r="H17" s="681"/>
      <c r="I17" s="681"/>
      <c r="J17" s="681"/>
      <c r="K17" s="681"/>
      <c r="L17" s="681"/>
    </row>
    <row r="18" spans="2:12" ht="12.75"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</row>
    <row r="19" spans="2:5" ht="12.75">
      <c r="B19" s="673" t="s">
        <v>188</v>
      </c>
      <c r="C19" s="673"/>
      <c r="D19" s="673"/>
      <c r="E19" s="673"/>
    </row>
    <row r="20" spans="2:5" ht="12.75">
      <c r="B20" s="393">
        <v>1</v>
      </c>
      <c r="C20" s="678" t="s">
        <v>189</v>
      </c>
      <c r="D20" s="679"/>
      <c r="E20" s="360"/>
    </row>
    <row r="21" spans="2:5" ht="12.75">
      <c r="B21" s="393">
        <v>2</v>
      </c>
      <c r="C21" s="678" t="s">
        <v>190</v>
      </c>
      <c r="D21" s="679"/>
      <c r="E21" s="360"/>
    </row>
    <row r="22" spans="2:5" ht="12.75">
      <c r="B22" s="372"/>
      <c r="C22" s="674"/>
      <c r="D22" s="676"/>
      <c r="E22" s="401"/>
    </row>
    <row r="23" spans="2:5" ht="12.75">
      <c r="B23" s="671" t="s">
        <v>159</v>
      </c>
      <c r="C23" s="672"/>
      <c r="D23" s="394"/>
      <c r="E23" s="395">
        <f>SUM(E20:E22)</f>
        <v>0</v>
      </c>
    </row>
    <row r="25" spans="2:5" ht="12.75">
      <c r="B25" s="673" t="s">
        <v>193</v>
      </c>
      <c r="C25" s="673"/>
      <c r="D25" s="673"/>
      <c r="E25" s="673"/>
    </row>
    <row r="26" spans="2:5" ht="12.75">
      <c r="B26" s="372">
        <v>1</v>
      </c>
      <c r="C26" s="669" t="s">
        <v>191</v>
      </c>
      <c r="D26" s="670"/>
      <c r="E26" s="360"/>
    </row>
    <row r="27" spans="2:10" ht="12.75">
      <c r="B27" s="372">
        <v>2</v>
      </c>
      <c r="C27" s="669" t="s">
        <v>192</v>
      </c>
      <c r="D27" s="670"/>
      <c r="E27" s="360"/>
      <c r="J27" s="350"/>
    </row>
    <row r="28" spans="2:5" ht="12.75">
      <c r="B28" s="372">
        <v>3</v>
      </c>
      <c r="C28" s="669" t="s">
        <v>194</v>
      </c>
      <c r="D28" s="670"/>
      <c r="E28" s="360"/>
    </row>
    <row r="29" spans="2:5" ht="12.75">
      <c r="B29" s="671" t="s">
        <v>159</v>
      </c>
      <c r="C29" s="672"/>
      <c r="D29" s="394"/>
      <c r="E29" s="395">
        <f>SUM(E26:E28)</f>
        <v>0</v>
      </c>
    </row>
    <row r="31" spans="2:5" ht="12.75">
      <c r="B31" s="673" t="s">
        <v>195</v>
      </c>
      <c r="C31" s="673"/>
      <c r="D31" s="673"/>
      <c r="E31" s="673"/>
    </row>
    <row r="32" spans="2:5" ht="12.75">
      <c r="B32" s="372">
        <v>1</v>
      </c>
      <c r="C32" s="669" t="s">
        <v>196</v>
      </c>
      <c r="D32" s="670"/>
      <c r="E32" s="360"/>
    </row>
    <row r="33" spans="2:5" ht="12.75">
      <c r="B33" s="372">
        <v>2</v>
      </c>
      <c r="C33" s="669" t="s">
        <v>197</v>
      </c>
      <c r="D33" s="670"/>
      <c r="E33" s="360"/>
    </row>
    <row r="34" spans="2:5" ht="12.75">
      <c r="B34" s="372">
        <v>3</v>
      </c>
      <c r="C34" s="669" t="s">
        <v>198</v>
      </c>
      <c r="D34" s="670"/>
      <c r="E34" s="360"/>
    </row>
    <row r="35" spans="2:5" ht="12.75">
      <c r="B35" s="372">
        <v>4</v>
      </c>
      <c r="C35" s="669" t="s">
        <v>199</v>
      </c>
      <c r="D35" s="670"/>
      <c r="E35" s="360"/>
    </row>
    <row r="36" spans="2:5" ht="12.75">
      <c r="B36" s="671" t="s">
        <v>159</v>
      </c>
      <c r="C36" s="677"/>
      <c r="D36" s="672"/>
      <c r="E36" s="395">
        <f>SUM(E32:E35)</f>
        <v>0</v>
      </c>
    </row>
    <row r="38" spans="2:5" ht="12.75">
      <c r="B38" s="673" t="s">
        <v>204</v>
      </c>
      <c r="C38" s="673"/>
      <c r="D38" s="673"/>
      <c r="E38" s="673"/>
    </row>
    <row r="39" spans="2:5" ht="12.75">
      <c r="B39" s="372">
        <v>1</v>
      </c>
      <c r="C39" s="669" t="s">
        <v>200</v>
      </c>
      <c r="D39" s="670"/>
      <c r="E39" s="360"/>
    </row>
    <row r="40" spans="2:5" ht="12.75">
      <c r="B40" s="372">
        <v>2</v>
      </c>
      <c r="C40" s="669" t="s">
        <v>201</v>
      </c>
      <c r="D40" s="670"/>
      <c r="E40" s="360"/>
    </row>
    <row r="41" spans="2:5" ht="12.75">
      <c r="B41" s="372">
        <v>3</v>
      </c>
      <c r="C41" s="669" t="s">
        <v>202</v>
      </c>
      <c r="D41" s="670"/>
      <c r="E41" s="360"/>
    </row>
    <row r="42" spans="2:5" ht="12.75">
      <c r="B42" s="372">
        <v>4</v>
      </c>
      <c r="C42" s="669" t="s">
        <v>203</v>
      </c>
      <c r="D42" s="670"/>
      <c r="E42" s="360"/>
    </row>
    <row r="43" spans="2:5" ht="12.75">
      <c r="B43" s="384"/>
      <c r="C43" s="674"/>
      <c r="D43" s="676"/>
      <c r="E43" s="401"/>
    </row>
    <row r="44" spans="2:5" ht="12.75">
      <c r="B44" s="671" t="s">
        <v>159</v>
      </c>
      <c r="C44" s="672"/>
      <c r="D44" s="394"/>
      <c r="E44" s="395">
        <f>SUM(E39:E43)</f>
        <v>0</v>
      </c>
    </row>
    <row r="46" spans="2:5" ht="12.75">
      <c r="B46" s="673" t="s">
        <v>206</v>
      </c>
      <c r="C46" s="673"/>
      <c r="D46" s="673"/>
      <c r="E46" s="673"/>
    </row>
    <row r="47" spans="2:5" ht="12.75">
      <c r="B47" s="372">
        <v>1</v>
      </c>
      <c r="C47" s="669" t="s">
        <v>200</v>
      </c>
      <c r="D47" s="670"/>
      <c r="E47" s="360"/>
    </row>
    <row r="48" spans="2:5" ht="12.75">
      <c r="B48" s="372">
        <v>2</v>
      </c>
      <c r="C48" s="669" t="s">
        <v>201</v>
      </c>
      <c r="D48" s="670"/>
      <c r="E48" s="360"/>
    </row>
    <row r="49" spans="2:5" ht="12.75">
      <c r="B49" s="372">
        <v>3</v>
      </c>
      <c r="C49" s="669" t="s">
        <v>202</v>
      </c>
      <c r="D49" s="670"/>
      <c r="E49" s="360"/>
    </row>
    <row r="50" spans="2:5" ht="12.75">
      <c r="B50" s="372">
        <v>4</v>
      </c>
      <c r="C50" s="669" t="s">
        <v>203</v>
      </c>
      <c r="D50" s="670"/>
      <c r="E50" s="360"/>
    </row>
    <row r="51" spans="2:5" ht="12.75">
      <c r="B51" s="674"/>
      <c r="C51" s="675"/>
      <c r="D51" s="676"/>
      <c r="E51" s="401"/>
    </row>
    <row r="52" spans="2:5" ht="12.75">
      <c r="B52" s="671" t="s">
        <v>159</v>
      </c>
      <c r="C52" s="672"/>
      <c r="D52" s="394"/>
      <c r="E52" s="395">
        <f>SUM(E47:E51)</f>
        <v>0</v>
      </c>
    </row>
    <row r="54" spans="2:5" ht="12.75">
      <c r="B54" s="673" t="s">
        <v>427</v>
      </c>
      <c r="C54" s="673"/>
      <c r="D54" s="673"/>
      <c r="E54" s="673"/>
    </row>
    <row r="55" spans="2:5" ht="12.75">
      <c r="B55" s="372">
        <v>1</v>
      </c>
      <c r="C55" s="669" t="s">
        <v>200</v>
      </c>
      <c r="D55" s="670"/>
      <c r="E55" s="360"/>
    </row>
    <row r="56" spans="2:5" ht="12.75">
      <c r="B56" s="372">
        <v>2</v>
      </c>
      <c r="C56" s="669" t="s">
        <v>201</v>
      </c>
      <c r="D56" s="670"/>
      <c r="E56" s="360"/>
    </row>
    <row r="57" spans="2:5" ht="12.75">
      <c r="B57" s="372">
        <v>3</v>
      </c>
      <c r="C57" s="669" t="s">
        <v>202</v>
      </c>
      <c r="D57" s="670"/>
      <c r="E57" s="360"/>
    </row>
    <row r="58" spans="2:5" ht="12.75">
      <c r="B58" s="372">
        <v>4</v>
      </c>
      <c r="C58" s="669" t="s">
        <v>203</v>
      </c>
      <c r="D58" s="670"/>
      <c r="E58" s="360"/>
    </row>
    <row r="59" spans="2:5" ht="12.75">
      <c r="B59" s="384"/>
      <c r="E59" s="360"/>
    </row>
    <row r="60" spans="2:5" ht="12.75">
      <c r="B60" s="396"/>
      <c r="C60" s="397"/>
      <c r="D60" s="397"/>
      <c r="E60" s="384"/>
    </row>
    <row r="61" spans="2:5" ht="12.75">
      <c r="B61" s="671" t="s">
        <v>159</v>
      </c>
      <c r="C61" s="672"/>
      <c r="D61" s="394"/>
      <c r="E61" s="395">
        <f>SUM(E55:E59)</f>
        <v>0</v>
      </c>
    </row>
    <row r="64" spans="2:5" ht="12.75">
      <c r="B64" s="673" t="s">
        <v>278</v>
      </c>
      <c r="C64" s="673"/>
      <c r="D64" s="673"/>
      <c r="E64" s="673"/>
    </row>
    <row r="65" spans="2:5" ht="12.75">
      <c r="B65" s="372">
        <v>1</v>
      </c>
      <c r="C65" s="669" t="s">
        <v>200</v>
      </c>
      <c r="D65" s="670"/>
      <c r="E65" s="360"/>
    </row>
    <row r="66" spans="2:5" ht="12.75">
      <c r="B66" s="372">
        <v>2</v>
      </c>
      <c r="C66" s="669" t="s">
        <v>201</v>
      </c>
      <c r="D66" s="670"/>
      <c r="E66" s="360"/>
    </row>
    <row r="67" spans="2:5" ht="12.75">
      <c r="B67" s="372">
        <v>3</v>
      </c>
      <c r="C67" s="669" t="s">
        <v>202</v>
      </c>
      <c r="D67" s="670"/>
      <c r="E67" s="360"/>
    </row>
    <row r="68" spans="2:5" ht="12.75">
      <c r="B68" s="372">
        <v>4</v>
      </c>
      <c r="C68" s="669" t="s">
        <v>203</v>
      </c>
      <c r="D68" s="670"/>
      <c r="E68" s="360"/>
    </row>
    <row r="69" spans="2:5" ht="12.75">
      <c r="B69" s="384"/>
      <c r="E69" s="360"/>
    </row>
    <row r="70" spans="2:5" ht="12.75">
      <c r="B70" s="396"/>
      <c r="C70" s="397"/>
      <c r="D70" s="397"/>
      <c r="E70" s="384"/>
    </row>
    <row r="71" spans="2:5" ht="12.75">
      <c r="B71" s="671" t="s">
        <v>159</v>
      </c>
      <c r="C71" s="672"/>
      <c r="D71" s="394"/>
      <c r="E71" s="395">
        <f>SUM(E65:E69)</f>
        <v>0</v>
      </c>
    </row>
  </sheetData>
  <sheetProtection password="FE41" sheet="1" objects="1" scenarios="1" selectLockedCells="1"/>
  <mergeCells count="58">
    <mergeCell ref="B3:M3"/>
    <mergeCell ref="C4:D4"/>
    <mergeCell ref="O4:P4"/>
    <mergeCell ref="C5:D5"/>
    <mergeCell ref="O5:P5"/>
    <mergeCell ref="C6:D6"/>
    <mergeCell ref="C7:D7"/>
    <mergeCell ref="O7:Q7"/>
    <mergeCell ref="C8:D8"/>
    <mergeCell ref="B10:H10"/>
    <mergeCell ref="C11:D11"/>
    <mergeCell ref="C12:D12"/>
    <mergeCell ref="C13:D13"/>
    <mergeCell ref="C14:D14"/>
    <mergeCell ref="C15:D15"/>
    <mergeCell ref="B17:L17"/>
    <mergeCell ref="B19:E19"/>
    <mergeCell ref="C20:D20"/>
    <mergeCell ref="C21:D21"/>
    <mergeCell ref="C22:D22"/>
    <mergeCell ref="B23:C23"/>
    <mergeCell ref="B25:E25"/>
    <mergeCell ref="C26:D26"/>
    <mergeCell ref="C27:D27"/>
    <mergeCell ref="C28:D28"/>
    <mergeCell ref="B29:C29"/>
    <mergeCell ref="B31:E31"/>
    <mergeCell ref="C32:D32"/>
    <mergeCell ref="C33:D33"/>
    <mergeCell ref="C34:D34"/>
    <mergeCell ref="C35:D35"/>
    <mergeCell ref="B36:D36"/>
    <mergeCell ref="B38:E38"/>
    <mergeCell ref="C39:D39"/>
    <mergeCell ref="C40:D40"/>
    <mergeCell ref="C41:D41"/>
    <mergeCell ref="C42:D42"/>
    <mergeCell ref="C43:D43"/>
    <mergeCell ref="B44:C44"/>
    <mergeCell ref="B46:E46"/>
    <mergeCell ref="C47:D47"/>
    <mergeCell ref="C48:D48"/>
    <mergeCell ref="C49:D49"/>
    <mergeCell ref="C50:D50"/>
    <mergeCell ref="B51:D51"/>
    <mergeCell ref="B52:C52"/>
    <mergeCell ref="B54:E54"/>
    <mergeCell ref="C55:D55"/>
    <mergeCell ref="C66:D66"/>
    <mergeCell ref="C67:D67"/>
    <mergeCell ref="C68:D68"/>
    <mergeCell ref="B71:C71"/>
    <mergeCell ref="C56:D56"/>
    <mergeCell ref="C57:D57"/>
    <mergeCell ref="C58:D58"/>
    <mergeCell ref="B61:C61"/>
    <mergeCell ref="B64:E64"/>
    <mergeCell ref="C65:D65"/>
  </mergeCells>
  <printOptions/>
  <pageMargins left="0.511811024" right="0.511811024" top="0.787401575" bottom="0.787401575" header="0.31496062" footer="0.31496062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AR196"/>
  <sheetViews>
    <sheetView showGridLines="0" zoomScale="85" zoomScaleNormal="85" workbookViewId="0" topLeftCell="A1">
      <selection activeCell="D195" activeCellId="22" sqref="J3 F4 I5 L5 O5 R5 U5 W5 G8:H87 L8:L87 P8:P87 P90:P101 L90:L101 G90:H101 D104:E179 I104:I179 M104:M179 D183:D186 E183:E186 I183:I186 M183:M186 D189:D192 D195:E196"/>
    </sheetView>
  </sheetViews>
  <sheetFormatPr defaultColWidth="8.8515625" defaultRowHeight="12.75"/>
  <cols>
    <col min="1" max="1" width="8.8515625" style="302" customWidth="1"/>
    <col min="2" max="2" width="6.421875" style="302" customWidth="1"/>
    <col min="3" max="3" width="54.421875" style="302" customWidth="1"/>
    <col min="4" max="4" width="15.00390625" style="302" customWidth="1"/>
    <col min="5" max="5" width="18.8515625" style="302" customWidth="1"/>
    <col min="6" max="6" width="19.00390625" style="302" customWidth="1"/>
    <col min="7" max="7" width="18.00390625" style="302" customWidth="1"/>
    <col min="8" max="8" width="20.140625" style="302" customWidth="1"/>
    <col min="9" max="9" width="19.00390625" style="506" customWidth="1"/>
    <col min="10" max="11" width="21.421875" style="412" customWidth="1"/>
    <col min="12" max="12" width="21.00390625" style="302" customWidth="1"/>
    <col min="13" max="13" width="15.00390625" style="302" customWidth="1"/>
    <col min="14" max="14" width="15.28125" style="302" customWidth="1"/>
    <col min="15" max="15" width="17.8515625" style="302" customWidth="1"/>
    <col min="16" max="16" width="18.421875" style="302" customWidth="1"/>
    <col min="17" max="17" width="19.421875" style="302" customWidth="1"/>
    <col min="18" max="18" width="20.8515625" style="302" customWidth="1"/>
    <col min="19" max="19" width="21.28125" style="302" customWidth="1"/>
    <col min="20" max="20" width="21.7109375" style="302" bestFit="1" customWidth="1"/>
    <col min="21" max="21" width="20.00390625" style="302" customWidth="1"/>
    <col min="22" max="22" width="24.421875" style="302" bestFit="1" customWidth="1"/>
    <col min="23" max="23" width="15.00390625" style="302" customWidth="1"/>
    <col min="24" max="24" width="12.140625" style="302" bestFit="1" customWidth="1"/>
    <col min="25" max="25" width="12.421875" style="302" customWidth="1"/>
    <col min="26" max="26" width="17.00390625" style="302" customWidth="1"/>
    <col min="27" max="27" width="14.140625" style="302" customWidth="1"/>
    <col min="28" max="28" width="15.8515625" style="302" customWidth="1"/>
    <col min="29" max="29" width="17.8515625" style="302" customWidth="1"/>
    <col min="30" max="30" width="15.7109375" style="302" customWidth="1"/>
    <col min="31" max="31" width="14.421875" style="302" customWidth="1"/>
    <col min="32" max="32" width="13.7109375" style="302" customWidth="1"/>
    <col min="33" max="33" width="14.8515625" style="302" bestFit="1" customWidth="1"/>
    <col min="34" max="34" width="15.28125" style="302" customWidth="1"/>
    <col min="35" max="35" width="13.421875" style="302" customWidth="1"/>
    <col min="36" max="36" width="13.421875" style="302" bestFit="1" customWidth="1"/>
    <col min="37" max="37" width="13.8515625" style="302" customWidth="1"/>
    <col min="38" max="38" width="10.8515625" style="302" bestFit="1" customWidth="1"/>
    <col min="39" max="41" width="8.8515625" style="302" customWidth="1"/>
    <col min="42" max="42" width="15.421875" style="302" customWidth="1"/>
    <col min="43" max="43" width="14.140625" style="302" customWidth="1"/>
    <col min="44" max="70" width="8.8515625" style="302" customWidth="1"/>
    <col min="71" max="71" width="9.140625" style="302" customWidth="1"/>
    <col min="72" max="16384" width="8.8515625" style="302" customWidth="1"/>
  </cols>
  <sheetData>
    <row r="2" spans="2:22" s="404" customFormat="1" ht="56.25" customHeight="1">
      <c r="B2" s="402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</row>
    <row r="3" spans="2:22" s="404" customFormat="1" ht="56.25" customHeight="1">
      <c r="B3" s="402"/>
      <c r="C3" s="403"/>
      <c r="D3" s="403"/>
      <c r="E3" s="403"/>
      <c r="F3" s="403"/>
      <c r="G3" s="403"/>
      <c r="H3" s="403"/>
      <c r="I3" s="403"/>
      <c r="J3" s="510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</row>
    <row r="4" spans="2:30" s="404" customFormat="1" ht="18.75" customHeight="1">
      <c r="B4" s="405"/>
      <c r="C4" s="406"/>
      <c r="D4" s="751" t="s">
        <v>403</v>
      </c>
      <c r="E4" s="752"/>
      <c r="F4" s="511">
        <v>0</v>
      </c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AD4" s="407"/>
    </row>
    <row r="5" spans="2:39" ht="50.25" customHeight="1">
      <c r="B5" s="408"/>
      <c r="C5" s="409"/>
      <c r="G5" s="410"/>
      <c r="H5" s="411" t="s">
        <v>513</v>
      </c>
      <c r="I5" s="512"/>
      <c r="K5" s="413" t="s">
        <v>404</v>
      </c>
      <c r="L5" s="513">
        <f>'BDI MATERIAIS'!I19</f>
        <v>0.0906</v>
      </c>
      <c r="N5" s="414" t="s">
        <v>505</v>
      </c>
      <c r="O5" s="514"/>
      <c r="Q5" s="414" t="s">
        <v>423</v>
      </c>
      <c r="R5" s="513">
        <f>'BDI SERVIÇOS'!L24</f>
        <v>0.25129999999999997</v>
      </c>
      <c r="T5" s="414" t="s">
        <v>350</v>
      </c>
      <c r="U5" s="513">
        <f>'BDI SERVIÇOS'!N41</f>
        <v>0.0745</v>
      </c>
      <c r="W5" s="515">
        <f>I5</f>
        <v>0</v>
      </c>
      <c r="Y5" s="750"/>
      <c r="Z5" s="415"/>
      <c r="AA5" s="407"/>
      <c r="AB5" s="407"/>
      <c r="AC5" s="407"/>
      <c r="AD5" s="416"/>
      <c r="AE5" s="415"/>
      <c r="AF5" s="415"/>
      <c r="AG5" s="415"/>
      <c r="AH5" s="407"/>
      <c r="AI5" s="407"/>
      <c r="AJ5" s="415"/>
      <c r="AK5" s="415"/>
      <c r="AL5" s="415"/>
      <c r="AM5" s="415"/>
    </row>
    <row r="6" spans="2:39" ht="45.75" customHeight="1">
      <c r="B6" s="417"/>
      <c r="C6" s="418" t="s">
        <v>220</v>
      </c>
      <c r="D6" s="753" t="s">
        <v>227</v>
      </c>
      <c r="E6" s="754"/>
      <c r="F6" s="754"/>
      <c r="G6" s="754"/>
      <c r="H6" s="754"/>
      <c r="I6" s="754"/>
      <c r="J6" s="754"/>
      <c r="K6" s="713" t="s">
        <v>228</v>
      </c>
      <c r="L6" s="713"/>
      <c r="M6" s="713"/>
      <c r="N6" s="713"/>
      <c r="O6" s="713"/>
      <c r="P6" s="713"/>
      <c r="Q6" s="713"/>
      <c r="R6" s="714"/>
      <c r="S6" s="715" t="s">
        <v>422</v>
      </c>
      <c r="T6" s="716"/>
      <c r="U6" s="717"/>
      <c r="X6" s="419"/>
      <c r="Y6" s="750"/>
      <c r="Z6" s="415"/>
      <c r="AA6" s="415"/>
      <c r="AB6" s="415"/>
      <c r="AC6" s="407"/>
      <c r="AD6" s="416"/>
      <c r="AE6" s="415"/>
      <c r="AF6" s="415"/>
      <c r="AG6" s="407"/>
      <c r="AH6" s="407"/>
      <c r="AI6" s="407"/>
      <c r="AJ6" s="415"/>
      <c r="AK6" s="415"/>
      <c r="AL6" s="415"/>
      <c r="AM6" s="415"/>
    </row>
    <row r="7" spans="2:38" ht="66.75" customHeight="1">
      <c r="B7" s="420" t="s">
        <v>154</v>
      </c>
      <c r="C7" s="420" t="s">
        <v>461</v>
      </c>
      <c r="D7" s="421" t="s">
        <v>462</v>
      </c>
      <c r="E7" s="421" t="s">
        <v>463</v>
      </c>
      <c r="F7" s="421" t="s">
        <v>464</v>
      </c>
      <c r="G7" s="422" t="s">
        <v>224</v>
      </c>
      <c r="H7" s="422" t="s">
        <v>402</v>
      </c>
      <c r="I7" s="423" t="s">
        <v>232</v>
      </c>
      <c r="J7" s="423" t="s">
        <v>419</v>
      </c>
      <c r="K7" s="424" t="s">
        <v>181</v>
      </c>
      <c r="L7" s="425" t="s">
        <v>223</v>
      </c>
      <c r="M7" s="425" t="s">
        <v>221</v>
      </c>
      <c r="N7" s="425" t="s">
        <v>457</v>
      </c>
      <c r="O7" s="425" t="s">
        <v>425</v>
      </c>
      <c r="P7" s="425" t="s">
        <v>230</v>
      </c>
      <c r="Q7" s="425" t="s">
        <v>231</v>
      </c>
      <c r="R7" s="425" t="s">
        <v>420</v>
      </c>
      <c r="S7" s="426" t="s">
        <v>424</v>
      </c>
      <c r="T7" s="426" t="s">
        <v>421</v>
      </c>
      <c r="U7" s="426" t="s">
        <v>435</v>
      </c>
      <c r="W7" s="427"/>
      <c r="X7" s="428"/>
      <c r="Y7" s="429"/>
      <c r="Z7" s="429"/>
      <c r="AA7" s="429"/>
      <c r="AB7" s="407"/>
      <c r="AC7" s="407"/>
      <c r="AD7" s="415"/>
      <c r="AE7" s="415"/>
      <c r="AF7" s="429"/>
      <c r="AG7" s="407"/>
      <c r="AH7" s="429"/>
      <c r="AI7" s="415"/>
      <c r="AJ7" s="415"/>
      <c r="AK7" s="415"/>
      <c r="AL7" s="415"/>
    </row>
    <row r="8" spans="2:38" s="404" customFormat="1" ht="12.75" customHeight="1">
      <c r="B8" s="738">
        <v>1</v>
      </c>
      <c r="C8" s="700" t="s">
        <v>465</v>
      </c>
      <c r="D8" s="732">
        <v>9</v>
      </c>
      <c r="E8" s="731">
        <v>950</v>
      </c>
      <c r="F8" s="732">
        <v>4000</v>
      </c>
      <c r="G8" s="727"/>
      <c r="H8" s="705">
        <f>$I$5*G8</f>
        <v>0</v>
      </c>
      <c r="I8" s="718">
        <f>IF(G8&lt;&gt;0,G8*$I$5,H8)</f>
        <v>0</v>
      </c>
      <c r="J8" s="718">
        <f>I8*(1+$L$5)</f>
        <v>0</v>
      </c>
      <c r="K8" s="430" t="s">
        <v>205</v>
      </c>
      <c r="L8" s="516"/>
      <c r="M8" s="431">
        <f>L8/60</f>
        <v>0</v>
      </c>
      <c r="N8" s="432">
        <f>'Custo da Mão de Obra '!$E$12*(1-$O$5)</f>
        <v>90.64420454545456</v>
      </c>
      <c r="O8" s="693">
        <f>SUM(M8*N8,M9*N9,M10*N10,M11*N11)</f>
        <v>20.00167613636364</v>
      </c>
      <c r="P8" s="694">
        <v>1</v>
      </c>
      <c r="Q8" s="693">
        <f>P8*O8</f>
        <v>20.00167613636364</v>
      </c>
      <c r="R8" s="695">
        <f>Q8*(1+$R$5)</f>
        <v>25.02809734943182</v>
      </c>
      <c r="S8" s="692">
        <f>I8+Q8</f>
        <v>20.00167613636364</v>
      </c>
      <c r="T8" s="692">
        <f>R8+J8</f>
        <v>25.02809734943182</v>
      </c>
      <c r="U8" s="692">
        <f>T8*(1+$U$5)</f>
        <v>26.892690601964492</v>
      </c>
      <c r="V8" s="745"/>
      <c r="W8" s="728"/>
      <c r="X8" s="730"/>
      <c r="Y8" s="434"/>
      <c r="Z8" s="434"/>
      <c r="AA8" s="435"/>
      <c r="AB8" s="435"/>
      <c r="AC8" s="434"/>
      <c r="AD8" s="415"/>
      <c r="AE8" s="415"/>
      <c r="AF8" s="436"/>
      <c r="AG8" s="434"/>
      <c r="AH8" s="437"/>
      <c r="AI8" s="415"/>
      <c r="AJ8" s="415"/>
      <c r="AK8" s="415"/>
      <c r="AL8" s="415"/>
    </row>
    <row r="9" spans="2:38" ht="12.75" customHeight="1">
      <c r="B9" s="738"/>
      <c r="C9" s="700"/>
      <c r="D9" s="732"/>
      <c r="E9" s="731"/>
      <c r="F9" s="731"/>
      <c r="G9" s="727"/>
      <c r="H9" s="705"/>
      <c r="I9" s="719"/>
      <c r="J9" s="719"/>
      <c r="K9" s="430" t="s">
        <v>184</v>
      </c>
      <c r="L9" s="516"/>
      <c r="M9" s="431">
        <f aca="true" t="shared" si="0" ref="M9:M72">L9/60</f>
        <v>0</v>
      </c>
      <c r="N9" s="432">
        <f>'Custo da Mão de Obra '!$E$13*(1-$O$5)</f>
        <v>48.469204545454545</v>
      </c>
      <c r="O9" s="693"/>
      <c r="P9" s="694"/>
      <c r="Q9" s="693"/>
      <c r="R9" s="696"/>
      <c r="S9" s="692"/>
      <c r="T9" s="698"/>
      <c r="U9" s="692"/>
      <c r="V9" s="745"/>
      <c r="W9" s="728"/>
      <c r="X9" s="730"/>
      <c r="Y9" s="434"/>
      <c r="Z9" s="434"/>
      <c r="AA9" s="435"/>
      <c r="AB9" s="435"/>
      <c r="AC9" s="434"/>
      <c r="AD9" s="415"/>
      <c r="AE9" s="415"/>
      <c r="AF9" s="436"/>
      <c r="AG9" s="434"/>
      <c r="AH9" s="437"/>
      <c r="AI9" s="415"/>
      <c r="AJ9" s="415"/>
      <c r="AK9" s="415"/>
      <c r="AL9" s="415"/>
    </row>
    <row r="10" spans="2:38" ht="12.75" customHeight="1">
      <c r="B10" s="738"/>
      <c r="C10" s="700"/>
      <c r="D10" s="732"/>
      <c r="E10" s="731"/>
      <c r="F10" s="731"/>
      <c r="G10" s="727"/>
      <c r="H10" s="705"/>
      <c r="I10" s="719"/>
      <c r="J10" s="719"/>
      <c r="K10" s="430" t="s">
        <v>217</v>
      </c>
      <c r="L10" s="516">
        <v>30</v>
      </c>
      <c r="M10" s="431">
        <f t="shared" si="0"/>
        <v>0.5</v>
      </c>
      <c r="N10" s="432">
        <f>'Custo da Mão de Obra '!$E$14*(1-$O$5)</f>
        <v>40.00335227272728</v>
      </c>
      <c r="O10" s="693"/>
      <c r="P10" s="694"/>
      <c r="Q10" s="693"/>
      <c r="R10" s="696"/>
      <c r="S10" s="692"/>
      <c r="T10" s="698"/>
      <c r="U10" s="692"/>
      <c r="V10" s="745"/>
      <c r="W10" s="728"/>
      <c r="X10" s="730"/>
      <c r="Y10" s="434"/>
      <c r="Z10" s="434"/>
      <c r="AA10" s="435"/>
      <c r="AB10" s="435"/>
      <c r="AC10" s="434"/>
      <c r="AD10" s="415"/>
      <c r="AE10" s="415"/>
      <c r="AF10" s="436"/>
      <c r="AG10" s="434"/>
      <c r="AH10" s="437"/>
      <c r="AI10" s="415"/>
      <c r="AJ10" s="415"/>
      <c r="AK10" s="415"/>
      <c r="AL10" s="415"/>
    </row>
    <row r="11" spans="2:38" ht="12.75" customHeight="1">
      <c r="B11" s="738"/>
      <c r="C11" s="700"/>
      <c r="D11" s="732"/>
      <c r="E11" s="731"/>
      <c r="F11" s="731"/>
      <c r="G11" s="727"/>
      <c r="H11" s="705"/>
      <c r="I11" s="720"/>
      <c r="J11" s="720"/>
      <c r="K11" s="430" t="s">
        <v>222</v>
      </c>
      <c r="L11" s="516"/>
      <c r="M11" s="431">
        <f t="shared" si="0"/>
        <v>0</v>
      </c>
      <c r="N11" s="432">
        <f>'Custo da Mão de Obra '!$E$15*(1-$O$5)</f>
        <v>19.333522727272726</v>
      </c>
      <c r="O11" s="693"/>
      <c r="P11" s="694"/>
      <c r="Q11" s="693"/>
      <c r="R11" s="697"/>
      <c r="S11" s="692"/>
      <c r="T11" s="698"/>
      <c r="U11" s="692"/>
      <c r="V11" s="745"/>
      <c r="W11" s="728"/>
      <c r="X11" s="730"/>
      <c r="Y11" s="434"/>
      <c r="Z11" s="434"/>
      <c r="AA11" s="435"/>
      <c r="AB11" s="435"/>
      <c r="AC11" s="434"/>
      <c r="AD11" s="415"/>
      <c r="AE11" s="415"/>
      <c r="AF11" s="436"/>
      <c r="AG11" s="434"/>
      <c r="AH11" s="437"/>
      <c r="AI11" s="415"/>
      <c r="AJ11" s="415"/>
      <c r="AK11" s="415"/>
      <c r="AL11" s="415"/>
    </row>
    <row r="12" spans="2:38" ht="12.75" customHeight="1">
      <c r="B12" s="738">
        <v>2</v>
      </c>
      <c r="C12" s="700" t="s">
        <v>466</v>
      </c>
      <c r="D12" s="732">
        <v>18</v>
      </c>
      <c r="E12" s="731">
        <v>1990</v>
      </c>
      <c r="F12" s="732">
        <v>4000</v>
      </c>
      <c r="G12" s="727"/>
      <c r="H12" s="705">
        <f>$I$5*G12</f>
        <v>0</v>
      </c>
      <c r="I12" s="718">
        <f>IF(G12&lt;&gt;0,G12*$I$5,H12)</f>
        <v>0</v>
      </c>
      <c r="J12" s="718">
        <f>I12*(1+$L$5)</f>
        <v>0</v>
      </c>
      <c r="K12" s="430" t="s">
        <v>205</v>
      </c>
      <c r="L12" s="516"/>
      <c r="M12" s="431">
        <f t="shared" si="0"/>
        <v>0</v>
      </c>
      <c r="N12" s="432">
        <f>'Custo da Mão de Obra '!$E$12*(1-$O$5)</f>
        <v>90.64420454545456</v>
      </c>
      <c r="O12" s="693">
        <f>SUM(M12*N12,M13*N13,M14*N14,M15*N15)</f>
        <v>20.00167613636364</v>
      </c>
      <c r="P12" s="694">
        <v>1</v>
      </c>
      <c r="Q12" s="693">
        <f>P12*O12</f>
        <v>20.00167613636364</v>
      </c>
      <c r="R12" s="695">
        <f>Q12*(1+$R$5)</f>
        <v>25.02809734943182</v>
      </c>
      <c r="S12" s="692">
        <f>I12+Q12</f>
        <v>20.00167613636364</v>
      </c>
      <c r="T12" s="692">
        <f>R12+J12</f>
        <v>25.02809734943182</v>
      </c>
      <c r="U12" s="692">
        <f>T12*(1+$U$5)</f>
        <v>26.892690601964492</v>
      </c>
      <c r="V12" s="433"/>
      <c r="W12" s="438"/>
      <c r="X12" s="439"/>
      <c r="Y12" s="434"/>
      <c r="Z12" s="434"/>
      <c r="AA12" s="435"/>
      <c r="AB12" s="435"/>
      <c r="AC12" s="434"/>
      <c r="AD12" s="415"/>
      <c r="AE12" s="415"/>
      <c r="AF12" s="436"/>
      <c r="AG12" s="434"/>
      <c r="AH12" s="437"/>
      <c r="AI12" s="415"/>
      <c r="AJ12" s="415"/>
      <c r="AK12" s="415"/>
      <c r="AL12" s="415"/>
    </row>
    <row r="13" spans="2:38" ht="12.75" customHeight="1">
      <c r="B13" s="738"/>
      <c r="C13" s="700"/>
      <c r="D13" s="732"/>
      <c r="E13" s="731"/>
      <c r="F13" s="731"/>
      <c r="G13" s="727"/>
      <c r="H13" s="705"/>
      <c r="I13" s="719"/>
      <c r="J13" s="719"/>
      <c r="K13" s="430" t="s">
        <v>184</v>
      </c>
      <c r="L13" s="516"/>
      <c r="M13" s="431">
        <f t="shared" si="0"/>
        <v>0</v>
      </c>
      <c r="N13" s="432">
        <f>'Custo da Mão de Obra '!$E$13*(1-$O$5)</f>
        <v>48.469204545454545</v>
      </c>
      <c r="O13" s="693"/>
      <c r="P13" s="694"/>
      <c r="Q13" s="693"/>
      <c r="R13" s="696"/>
      <c r="S13" s="692"/>
      <c r="T13" s="698"/>
      <c r="U13" s="692"/>
      <c r="V13" s="433"/>
      <c r="W13" s="438"/>
      <c r="X13" s="439"/>
      <c r="Y13" s="434"/>
      <c r="Z13" s="434"/>
      <c r="AA13" s="435"/>
      <c r="AB13" s="435"/>
      <c r="AC13" s="434"/>
      <c r="AD13" s="415"/>
      <c r="AE13" s="415"/>
      <c r="AF13" s="436"/>
      <c r="AG13" s="434"/>
      <c r="AH13" s="437"/>
      <c r="AI13" s="415"/>
      <c r="AJ13" s="415"/>
      <c r="AK13" s="415"/>
      <c r="AL13" s="415"/>
    </row>
    <row r="14" spans="2:38" ht="12.75" customHeight="1">
      <c r="B14" s="738"/>
      <c r="C14" s="700"/>
      <c r="D14" s="732"/>
      <c r="E14" s="731"/>
      <c r="F14" s="731"/>
      <c r="G14" s="727"/>
      <c r="H14" s="705"/>
      <c r="I14" s="719"/>
      <c r="J14" s="719"/>
      <c r="K14" s="430" t="s">
        <v>217</v>
      </c>
      <c r="L14" s="516">
        <v>30</v>
      </c>
      <c r="M14" s="431">
        <f t="shared" si="0"/>
        <v>0.5</v>
      </c>
      <c r="N14" s="432">
        <f>'Custo da Mão de Obra '!$E$14*(1-$O$5)</f>
        <v>40.00335227272728</v>
      </c>
      <c r="O14" s="693"/>
      <c r="P14" s="694"/>
      <c r="Q14" s="693"/>
      <c r="R14" s="696"/>
      <c r="S14" s="692"/>
      <c r="T14" s="698"/>
      <c r="U14" s="692"/>
      <c r="V14" s="433"/>
      <c r="W14" s="438"/>
      <c r="X14" s="439"/>
      <c r="Y14" s="434"/>
      <c r="Z14" s="434"/>
      <c r="AA14" s="435"/>
      <c r="AB14" s="435"/>
      <c r="AC14" s="434"/>
      <c r="AD14" s="415"/>
      <c r="AE14" s="415"/>
      <c r="AF14" s="436"/>
      <c r="AG14" s="434"/>
      <c r="AH14" s="437"/>
      <c r="AI14" s="415"/>
      <c r="AJ14" s="415"/>
      <c r="AK14" s="415"/>
      <c r="AL14" s="415"/>
    </row>
    <row r="15" spans="2:38" ht="12.75" customHeight="1">
      <c r="B15" s="738"/>
      <c r="C15" s="700"/>
      <c r="D15" s="732"/>
      <c r="E15" s="731"/>
      <c r="F15" s="731"/>
      <c r="G15" s="727"/>
      <c r="H15" s="705"/>
      <c r="I15" s="720"/>
      <c r="J15" s="720"/>
      <c r="K15" s="430" t="s">
        <v>222</v>
      </c>
      <c r="L15" s="516"/>
      <c r="M15" s="431">
        <f t="shared" si="0"/>
        <v>0</v>
      </c>
      <c r="N15" s="432">
        <f>'Custo da Mão de Obra '!$E$15*(1-$O$5)</f>
        <v>19.333522727272726</v>
      </c>
      <c r="O15" s="693"/>
      <c r="P15" s="694"/>
      <c r="Q15" s="693"/>
      <c r="R15" s="697"/>
      <c r="S15" s="692"/>
      <c r="T15" s="698"/>
      <c r="U15" s="692"/>
      <c r="V15" s="433"/>
      <c r="W15" s="438"/>
      <c r="X15" s="439"/>
      <c r="Y15" s="434"/>
      <c r="Z15" s="434"/>
      <c r="AA15" s="435"/>
      <c r="AB15" s="435"/>
      <c r="AC15" s="434"/>
      <c r="AD15" s="415"/>
      <c r="AE15" s="415"/>
      <c r="AF15" s="436"/>
      <c r="AG15" s="434"/>
      <c r="AH15" s="437"/>
      <c r="AI15" s="415"/>
      <c r="AJ15" s="415"/>
      <c r="AK15" s="415"/>
      <c r="AL15" s="415"/>
    </row>
    <row r="16" spans="2:38" ht="12.75" customHeight="1">
      <c r="B16" s="738">
        <v>3</v>
      </c>
      <c r="C16" s="700" t="s">
        <v>467</v>
      </c>
      <c r="D16" s="732">
        <v>24</v>
      </c>
      <c r="E16" s="731">
        <v>3240</v>
      </c>
      <c r="F16" s="732">
        <v>4000</v>
      </c>
      <c r="G16" s="727"/>
      <c r="H16" s="705">
        <f>$I$5*G16</f>
        <v>0</v>
      </c>
      <c r="I16" s="718">
        <f>IF(G16&lt;&gt;0,G16*$I$5,H16)</f>
        <v>0</v>
      </c>
      <c r="J16" s="718">
        <f>I16*(1+$L$5)</f>
        <v>0</v>
      </c>
      <c r="K16" s="430" t="s">
        <v>205</v>
      </c>
      <c r="L16" s="516"/>
      <c r="M16" s="431">
        <f t="shared" si="0"/>
        <v>0</v>
      </c>
      <c r="N16" s="432">
        <f>'Custo da Mão de Obra '!$E$12*(1-$O$5)</f>
        <v>90.64420454545456</v>
      </c>
      <c r="O16" s="693">
        <f>SUM(M16*N16,M17*N17,M18*N18,M19*N19)</f>
        <v>20.00167613636364</v>
      </c>
      <c r="P16" s="694">
        <v>1</v>
      </c>
      <c r="Q16" s="693">
        <f>P16*O16</f>
        <v>20.00167613636364</v>
      </c>
      <c r="R16" s="695">
        <f>Q16*(1+$R$5)</f>
        <v>25.02809734943182</v>
      </c>
      <c r="S16" s="692">
        <f>I16+Q16</f>
        <v>20.00167613636364</v>
      </c>
      <c r="T16" s="692">
        <f>R16+J16</f>
        <v>25.02809734943182</v>
      </c>
      <c r="U16" s="692">
        <f>T16*(1+$U$5)</f>
        <v>26.892690601964492</v>
      </c>
      <c r="V16" s="433"/>
      <c r="W16" s="438"/>
      <c r="X16" s="439"/>
      <c r="Y16" s="434"/>
      <c r="Z16" s="434"/>
      <c r="AA16" s="435"/>
      <c r="AB16" s="435"/>
      <c r="AC16" s="434"/>
      <c r="AD16" s="415"/>
      <c r="AE16" s="415"/>
      <c r="AF16" s="436"/>
      <c r="AG16" s="434"/>
      <c r="AH16" s="437"/>
      <c r="AI16" s="415"/>
      <c r="AJ16" s="415"/>
      <c r="AK16" s="415"/>
      <c r="AL16" s="415"/>
    </row>
    <row r="17" spans="2:38" ht="12.75" customHeight="1">
      <c r="B17" s="738"/>
      <c r="C17" s="700"/>
      <c r="D17" s="732"/>
      <c r="E17" s="731"/>
      <c r="F17" s="731"/>
      <c r="G17" s="727"/>
      <c r="H17" s="705"/>
      <c r="I17" s="719"/>
      <c r="J17" s="719"/>
      <c r="K17" s="430" t="s">
        <v>184</v>
      </c>
      <c r="L17" s="516"/>
      <c r="M17" s="431">
        <f t="shared" si="0"/>
        <v>0</v>
      </c>
      <c r="N17" s="432">
        <f>'Custo da Mão de Obra '!$E$13*(1-$O$5)</f>
        <v>48.469204545454545</v>
      </c>
      <c r="O17" s="693"/>
      <c r="P17" s="694"/>
      <c r="Q17" s="693"/>
      <c r="R17" s="696"/>
      <c r="S17" s="692"/>
      <c r="T17" s="698"/>
      <c r="U17" s="692"/>
      <c r="V17" s="433"/>
      <c r="W17" s="438"/>
      <c r="X17" s="439"/>
      <c r="Y17" s="434"/>
      <c r="Z17" s="434"/>
      <c r="AA17" s="435"/>
      <c r="AB17" s="435"/>
      <c r="AC17" s="434"/>
      <c r="AD17" s="415"/>
      <c r="AE17" s="415"/>
      <c r="AF17" s="436"/>
      <c r="AG17" s="434"/>
      <c r="AH17" s="437"/>
      <c r="AI17" s="415"/>
      <c r="AJ17" s="415"/>
      <c r="AK17" s="415"/>
      <c r="AL17" s="415"/>
    </row>
    <row r="18" spans="2:38" ht="12.75" customHeight="1">
      <c r="B18" s="738"/>
      <c r="C18" s="700"/>
      <c r="D18" s="732"/>
      <c r="E18" s="731"/>
      <c r="F18" s="731"/>
      <c r="G18" s="727"/>
      <c r="H18" s="705"/>
      <c r="I18" s="719"/>
      <c r="J18" s="719"/>
      <c r="K18" s="430" t="s">
        <v>217</v>
      </c>
      <c r="L18" s="516">
        <v>30</v>
      </c>
      <c r="M18" s="431">
        <f t="shared" si="0"/>
        <v>0.5</v>
      </c>
      <c r="N18" s="432">
        <f>'Custo da Mão de Obra '!$E$14*(1-$O$5)</f>
        <v>40.00335227272728</v>
      </c>
      <c r="O18" s="693"/>
      <c r="P18" s="694"/>
      <c r="Q18" s="693"/>
      <c r="R18" s="696"/>
      <c r="S18" s="692"/>
      <c r="T18" s="698"/>
      <c r="U18" s="692"/>
      <c r="V18" s="433"/>
      <c r="W18" s="438"/>
      <c r="X18" s="439"/>
      <c r="Y18" s="434"/>
      <c r="Z18" s="434"/>
      <c r="AA18" s="435"/>
      <c r="AB18" s="435"/>
      <c r="AC18" s="434"/>
      <c r="AD18" s="415"/>
      <c r="AE18" s="415"/>
      <c r="AF18" s="436"/>
      <c r="AG18" s="434"/>
      <c r="AH18" s="437"/>
      <c r="AI18" s="415"/>
      <c r="AJ18" s="415"/>
      <c r="AK18" s="415"/>
      <c r="AL18" s="415"/>
    </row>
    <row r="19" spans="2:38" ht="12.75" customHeight="1">
      <c r="B19" s="738"/>
      <c r="C19" s="700"/>
      <c r="D19" s="732"/>
      <c r="E19" s="731"/>
      <c r="F19" s="731"/>
      <c r="G19" s="727"/>
      <c r="H19" s="705"/>
      <c r="I19" s="720"/>
      <c r="J19" s="720"/>
      <c r="K19" s="430" t="s">
        <v>222</v>
      </c>
      <c r="L19" s="516"/>
      <c r="M19" s="431">
        <f t="shared" si="0"/>
        <v>0</v>
      </c>
      <c r="N19" s="432">
        <f>'Custo da Mão de Obra '!$E$15*(1-$O$5)</f>
        <v>19.333522727272726</v>
      </c>
      <c r="O19" s="693"/>
      <c r="P19" s="694"/>
      <c r="Q19" s="693"/>
      <c r="R19" s="697"/>
      <c r="S19" s="692"/>
      <c r="T19" s="698"/>
      <c r="U19" s="692"/>
      <c r="V19" s="433"/>
      <c r="W19" s="438"/>
      <c r="X19" s="439"/>
      <c r="Y19" s="434"/>
      <c r="Z19" s="434"/>
      <c r="AA19" s="435"/>
      <c r="AB19" s="435"/>
      <c r="AC19" s="434"/>
      <c r="AD19" s="415"/>
      <c r="AE19" s="415"/>
      <c r="AF19" s="436"/>
      <c r="AG19" s="434"/>
      <c r="AH19" s="437"/>
      <c r="AI19" s="415"/>
      <c r="AJ19" s="415"/>
      <c r="AK19" s="415"/>
      <c r="AL19" s="415"/>
    </row>
    <row r="20" spans="2:38" ht="12.75" customHeight="1">
      <c r="B20" s="738">
        <v>4</v>
      </c>
      <c r="C20" s="700" t="s">
        <v>468</v>
      </c>
      <c r="D20" s="732">
        <v>9</v>
      </c>
      <c r="E20" s="731">
        <v>900</v>
      </c>
      <c r="F20" s="732">
        <v>4000</v>
      </c>
      <c r="G20" s="727"/>
      <c r="H20" s="705">
        <f>$I$5*G20</f>
        <v>0</v>
      </c>
      <c r="I20" s="718">
        <f>IF(G20&lt;&gt;0,G20*$I$5,H20)</f>
        <v>0</v>
      </c>
      <c r="J20" s="718">
        <f>I20*(1+$L$5)</f>
        <v>0</v>
      </c>
      <c r="K20" s="430" t="s">
        <v>205</v>
      </c>
      <c r="L20" s="516"/>
      <c r="M20" s="431">
        <f t="shared" si="0"/>
        <v>0</v>
      </c>
      <c r="N20" s="432">
        <f>'Custo da Mão de Obra '!$E$12*(1-$O$5)</f>
        <v>90.64420454545456</v>
      </c>
      <c r="O20" s="693">
        <f>SUM(M20*N20,M21*N21,M22*N22,M23*N23)</f>
        <v>20.00167613636364</v>
      </c>
      <c r="P20" s="694">
        <v>1</v>
      </c>
      <c r="Q20" s="693">
        <f>P20*O20</f>
        <v>20.00167613636364</v>
      </c>
      <c r="R20" s="695">
        <f>Q20*(1+$R$5)</f>
        <v>25.02809734943182</v>
      </c>
      <c r="S20" s="692">
        <f>I20+Q20</f>
        <v>20.00167613636364</v>
      </c>
      <c r="T20" s="692">
        <f>R20+J20</f>
        <v>25.02809734943182</v>
      </c>
      <c r="U20" s="692">
        <f>T20*(1+$U$5)</f>
        <v>26.892690601964492</v>
      </c>
      <c r="V20" s="433"/>
      <c r="W20" s="438"/>
      <c r="X20" s="439"/>
      <c r="Y20" s="434"/>
      <c r="Z20" s="434"/>
      <c r="AA20" s="435"/>
      <c r="AB20" s="435"/>
      <c r="AC20" s="434"/>
      <c r="AD20" s="415"/>
      <c r="AE20" s="415"/>
      <c r="AF20" s="436"/>
      <c r="AG20" s="434"/>
      <c r="AH20" s="437"/>
      <c r="AI20" s="415"/>
      <c r="AJ20" s="415"/>
      <c r="AK20" s="415"/>
      <c r="AL20" s="415"/>
    </row>
    <row r="21" spans="2:38" ht="12.75" customHeight="1">
      <c r="B21" s="738"/>
      <c r="C21" s="700"/>
      <c r="D21" s="732"/>
      <c r="E21" s="731"/>
      <c r="F21" s="731"/>
      <c r="G21" s="727"/>
      <c r="H21" s="705"/>
      <c r="I21" s="719"/>
      <c r="J21" s="719"/>
      <c r="K21" s="430" t="s">
        <v>184</v>
      </c>
      <c r="L21" s="516"/>
      <c r="M21" s="431">
        <f t="shared" si="0"/>
        <v>0</v>
      </c>
      <c r="N21" s="432">
        <f>'Custo da Mão de Obra '!$E$13*(1-$O$5)</f>
        <v>48.469204545454545</v>
      </c>
      <c r="O21" s="693"/>
      <c r="P21" s="694"/>
      <c r="Q21" s="693"/>
      <c r="R21" s="696"/>
      <c r="S21" s="692"/>
      <c r="T21" s="698"/>
      <c r="U21" s="692"/>
      <c r="V21" s="433"/>
      <c r="W21" s="438"/>
      <c r="X21" s="439"/>
      <c r="Y21" s="434"/>
      <c r="Z21" s="434"/>
      <c r="AA21" s="435"/>
      <c r="AB21" s="435"/>
      <c r="AC21" s="434"/>
      <c r="AD21" s="415"/>
      <c r="AE21" s="415"/>
      <c r="AF21" s="436"/>
      <c r="AG21" s="434"/>
      <c r="AH21" s="437"/>
      <c r="AI21" s="415"/>
      <c r="AJ21" s="415"/>
      <c r="AK21" s="415"/>
      <c r="AL21" s="415"/>
    </row>
    <row r="22" spans="2:38" ht="12.75" customHeight="1">
      <c r="B22" s="738"/>
      <c r="C22" s="700"/>
      <c r="D22" s="732"/>
      <c r="E22" s="731"/>
      <c r="F22" s="731"/>
      <c r="G22" s="727"/>
      <c r="H22" s="705"/>
      <c r="I22" s="719"/>
      <c r="J22" s="719"/>
      <c r="K22" s="430" t="s">
        <v>217</v>
      </c>
      <c r="L22" s="516">
        <v>30</v>
      </c>
      <c r="M22" s="431">
        <f t="shared" si="0"/>
        <v>0.5</v>
      </c>
      <c r="N22" s="432">
        <f>'Custo da Mão de Obra '!$E$14*(1-$O$5)</f>
        <v>40.00335227272728</v>
      </c>
      <c r="O22" s="693"/>
      <c r="P22" s="694"/>
      <c r="Q22" s="693"/>
      <c r="R22" s="696"/>
      <c r="S22" s="692"/>
      <c r="T22" s="698"/>
      <c r="U22" s="692"/>
      <c r="V22" s="433"/>
      <c r="W22" s="438"/>
      <c r="X22" s="439"/>
      <c r="Y22" s="434"/>
      <c r="Z22" s="434"/>
      <c r="AA22" s="435"/>
      <c r="AB22" s="435"/>
      <c r="AC22" s="434"/>
      <c r="AD22" s="415"/>
      <c r="AE22" s="415"/>
      <c r="AF22" s="436"/>
      <c r="AG22" s="434"/>
      <c r="AH22" s="437"/>
      <c r="AI22" s="415"/>
      <c r="AJ22" s="415"/>
      <c r="AK22" s="415"/>
      <c r="AL22" s="415"/>
    </row>
    <row r="23" spans="2:38" ht="12.75" customHeight="1">
      <c r="B23" s="738"/>
      <c r="C23" s="700"/>
      <c r="D23" s="732"/>
      <c r="E23" s="731"/>
      <c r="F23" s="731"/>
      <c r="G23" s="727"/>
      <c r="H23" s="705"/>
      <c r="I23" s="720"/>
      <c r="J23" s="720"/>
      <c r="K23" s="430" t="s">
        <v>222</v>
      </c>
      <c r="L23" s="516"/>
      <c r="M23" s="431">
        <f t="shared" si="0"/>
        <v>0</v>
      </c>
      <c r="N23" s="432">
        <f>'Custo da Mão de Obra '!$E$15*(1-$O$5)</f>
        <v>19.333522727272726</v>
      </c>
      <c r="O23" s="693"/>
      <c r="P23" s="694"/>
      <c r="Q23" s="693"/>
      <c r="R23" s="697"/>
      <c r="S23" s="692"/>
      <c r="T23" s="698"/>
      <c r="U23" s="692"/>
      <c r="V23" s="433"/>
      <c r="W23" s="438"/>
      <c r="X23" s="439"/>
      <c r="Y23" s="434"/>
      <c r="Z23" s="434"/>
      <c r="AA23" s="435"/>
      <c r="AB23" s="435"/>
      <c r="AC23" s="434"/>
      <c r="AD23" s="415"/>
      <c r="AE23" s="415"/>
      <c r="AF23" s="436"/>
      <c r="AG23" s="434"/>
      <c r="AH23" s="437"/>
      <c r="AI23" s="415"/>
      <c r="AJ23" s="415"/>
      <c r="AK23" s="415"/>
      <c r="AL23" s="415"/>
    </row>
    <row r="24" spans="2:38" ht="12.75" customHeight="1">
      <c r="B24" s="738">
        <v>5</v>
      </c>
      <c r="C24" s="700" t="s">
        <v>469</v>
      </c>
      <c r="D24" s="732">
        <v>9</v>
      </c>
      <c r="E24" s="731">
        <v>900</v>
      </c>
      <c r="F24" s="732">
        <v>4000</v>
      </c>
      <c r="G24" s="727"/>
      <c r="H24" s="705">
        <f>$I$5*G24</f>
        <v>0</v>
      </c>
      <c r="I24" s="718">
        <f>IF(G24&lt;&gt;0,G24*$I$5,H24)</f>
        <v>0</v>
      </c>
      <c r="J24" s="718">
        <f>I24*(1+$L$5)</f>
        <v>0</v>
      </c>
      <c r="K24" s="430" t="s">
        <v>205</v>
      </c>
      <c r="L24" s="516"/>
      <c r="M24" s="431">
        <f t="shared" si="0"/>
        <v>0</v>
      </c>
      <c r="N24" s="432">
        <f>'Custo da Mão de Obra '!$E$12*(1-$O$5)</f>
        <v>90.64420454545456</v>
      </c>
      <c r="O24" s="693">
        <f>SUM(M24*N24,M25*N25,M26*N26,M27*N27)</f>
        <v>20.00167613636364</v>
      </c>
      <c r="P24" s="694">
        <v>1</v>
      </c>
      <c r="Q24" s="693">
        <f>P24*O24</f>
        <v>20.00167613636364</v>
      </c>
      <c r="R24" s="695">
        <f>Q24*(1+$R$5)</f>
        <v>25.02809734943182</v>
      </c>
      <c r="S24" s="692">
        <f>I24+Q24</f>
        <v>20.00167613636364</v>
      </c>
      <c r="T24" s="692">
        <f>R24+J24</f>
        <v>25.02809734943182</v>
      </c>
      <c r="U24" s="692">
        <f>T24*(1+$U$5)</f>
        <v>26.892690601964492</v>
      </c>
      <c r="V24" s="433"/>
      <c r="W24" s="438"/>
      <c r="X24" s="439"/>
      <c r="Y24" s="434"/>
      <c r="Z24" s="434"/>
      <c r="AA24" s="435"/>
      <c r="AB24" s="435"/>
      <c r="AC24" s="434"/>
      <c r="AD24" s="415"/>
      <c r="AE24" s="415"/>
      <c r="AF24" s="436"/>
      <c r="AG24" s="434"/>
      <c r="AH24" s="437"/>
      <c r="AI24" s="415"/>
      <c r="AJ24" s="415"/>
      <c r="AK24" s="415"/>
      <c r="AL24" s="415"/>
    </row>
    <row r="25" spans="2:38" ht="12.75" customHeight="1">
      <c r="B25" s="738"/>
      <c r="C25" s="700"/>
      <c r="D25" s="732"/>
      <c r="E25" s="731"/>
      <c r="F25" s="731"/>
      <c r="G25" s="727"/>
      <c r="H25" s="705"/>
      <c r="I25" s="719"/>
      <c r="J25" s="719"/>
      <c r="K25" s="430" t="s">
        <v>184</v>
      </c>
      <c r="L25" s="516"/>
      <c r="M25" s="431">
        <f t="shared" si="0"/>
        <v>0</v>
      </c>
      <c r="N25" s="432">
        <f>'Custo da Mão de Obra '!$E$13*(1-$O$5)</f>
        <v>48.469204545454545</v>
      </c>
      <c r="O25" s="693"/>
      <c r="P25" s="694"/>
      <c r="Q25" s="693"/>
      <c r="R25" s="696"/>
      <c r="S25" s="692"/>
      <c r="T25" s="698"/>
      <c r="U25" s="692"/>
      <c r="V25" s="433"/>
      <c r="W25" s="438"/>
      <c r="X25" s="439"/>
      <c r="Y25" s="434"/>
      <c r="Z25" s="434"/>
      <c r="AA25" s="435"/>
      <c r="AB25" s="435"/>
      <c r="AC25" s="434"/>
      <c r="AD25" s="415"/>
      <c r="AE25" s="415"/>
      <c r="AF25" s="436"/>
      <c r="AG25" s="434"/>
      <c r="AH25" s="437"/>
      <c r="AI25" s="415"/>
      <c r="AJ25" s="415"/>
      <c r="AK25" s="415"/>
      <c r="AL25" s="415"/>
    </row>
    <row r="26" spans="2:38" ht="12.75" customHeight="1">
      <c r="B26" s="738"/>
      <c r="C26" s="700"/>
      <c r="D26" s="732"/>
      <c r="E26" s="731"/>
      <c r="F26" s="731"/>
      <c r="G26" s="727"/>
      <c r="H26" s="705"/>
      <c r="I26" s="719"/>
      <c r="J26" s="719"/>
      <c r="K26" s="430" t="s">
        <v>217</v>
      </c>
      <c r="L26" s="516">
        <v>30</v>
      </c>
      <c r="M26" s="431">
        <f t="shared" si="0"/>
        <v>0.5</v>
      </c>
      <c r="N26" s="432">
        <f>'Custo da Mão de Obra '!$E$14*(1-$O$5)</f>
        <v>40.00335227272728</v>
      </c>
      <c r="O26" s="693"/>
      <c r="P26" s="694"/>
      <c r="Q26" s="693"/>
      <c r="R26" s="696"/>
      <c r="S26" s="692"/>
      <c r="T26" s="698"/>
      <c r="U26" s="692"/>
      <c r="V26" s="433"/>
      <c r="W26" s="438"/>
      <c r="X26" s="439"/>
      <c r="Y26" s="434"/>
      <c r="Z26" s="434"/>
      <c r="AA26" s="435"/>
      <c r="AB26" s="435"/>
      <c r="AC26" s="434"/>
      <c r="AD26" s="415"/>
      <c r="AE26" s="415"/>
      <c r="AF26" s="436"/>
      <c r="AG26" s="434"/>
      <c r="AH26" s="437"/>
      <c r="AI26" s="415"/>
      <c r="AJ26" s="415"/>
      <c r="AK26" s="415"/>
      <c r="AL26" s="415"/>
    </row>
    <row r="27" spans="2:38" ht="12.75" customHeight="1">
      <c r="B27" s="738"/>
      <c r="C27" s="700"/>
      <c r="D27" s="732"/>
      <c r="E27" s="731"/>
      <c r="F27" s="731"/>
      <c r="G27" s="727"/>
      <c r="H27" s="705"/>
      <c r="I27" s="720"/>
      <c r="J27" s="720"/>
      <c r="K27" s="430" t="s">
        <v>222</v>
      </c>
      <c r="L27" s="516"/>
      <c r="M27" s="431">
        <f t="shared" si="0"/>
        <v>0</v>
      </c>
      <c r="N27" s="432">
        <f>'Custo da Mão de Obra '!$E$15*(1-$O$5)</f>
        <v>19.333522727272726</v>
      </c>
      <c r="O27" s="693"/>
      <c r="P27" s="694"/>
      <c r="Q27" s="693"/>
      <c r="R27" s="697"/>
      <c r="S27" s="692"/>
      <c r="T27" s="698"/>
      <c r="U27" s="692"/>
      <c r="V27" s="433"/>
      <c r="W27" s="438"/>
      <c r="X27" s="439"/>
      <c r="Y27" s="434"/>
      <c r="Z27" s="434"/>
      <c r="AA27" s="435"/>
      <c r="AB27" s="435"/>
      <c r="AC27" s="434"/>
      <c r="AD27" s="415"/>
      <c r="AE27" s="415"/>
      <c r="AF27" s="436"/>
      <c r="AG27" s="434"/>
      <c r="AH27" s="437"/>
      <c r="AI27" s="415"/>
      <c r="AJ27" s="415"/>
      <c r="AK27" s="415"/>
      <c r="AL27" s="415"/>
    </row>
    <row r="28" spans="2:38" ht="12.75" customHeight="1">
      <c r="B28" s="738">
        <v>6</v>
      </c>
      <c r="C28" s="700" t="s">
        <v>470</v>
      </c>
      <c r="D28" s="732">
        <v>18</v>
      </c>
      <c r="E28" s="731">
        <v>1850</v>
      </c>
      <c r="F28" s="732">
        <v>4000</v>
      </c>
      <c r="G28" s="727"/>
      <c r="H28" s="705">
        <f>$I$5*G28</f>
        <v>0</v>
      </c>
      <c r="I28" s="718">
        <f>IF(G28&lt;&gt;0,G28*$I$5,H28)</f>
        <v>0</v>
      </c>
      <c r="J28" s="718">
        <f>I28*(1+$L$5)</f>
        <v>0</v>
      </c>
      <c r="K28" s="430" t="s">
        <v>205</v>
      </c>
      <c r="L28" s="516"/>
      <c r="M28" s="431">
        <f t="shared" si="0"/>
        <v>0</v>
      </c>
      <c r="N28" s="432">
        <f>'Custo da Mão de Obra '!$E$12*(1-$O$5)</f>
        <v>90.64420454545456</v>
      </c>
      <c r="O28" s="693">
        <f>SUM(M28*N28,M29*N29,M30*N30,M31*N31)</f>
        <v>20.00167613636364</v>
      </c>
      <c r="P28" s="694">
        <v>1</v>
      </c>
      <c r="Q28" s="693">
        <f>P28*O28</f>
        <v>20.00167613636364</v>
      </c>
      <c r="R28" s="695">
        <f>Q28*(1+$R$5)</f>
        <v>25.02809734943182</v>
      </c>
      <c r="S28" s="692">
        <f>I28+Q28</f>
        <v>20.00167613636364</v>
      </c>
      <c r="T28" s="692">
        <f>R28+J28</f>
        <v>25.02809734943182</v>
      </c>
      <c r="U28" s="692">
        <f>T28*(1+$U$5)</f>
        <v>26.892690601964492</v>
      </c>
      <c r="V28" s="745"/>
      <c r="W28" s="728"/>
      <c r="X28" s="730"/>
      <c r="Y28" s="434"/>
      <c r="Z28" s="434"/>
      <c r="AA28" s="435"/>
      <c r="AB28" s="435"/>
      <c r="AC28" s="434"/>
      <c r="AD28" s="415"/>
      <c r="AE28" s="415"/>
      <c r="AF28" s="436"/>
      <c r="AG28" s="440"/>
      <c r="AH28" s="441"/>
      <c r="AI28" s="415"/>
      <c r="AJ28" s="415"/>
      <c r="AK28" s="415"/>
      <c r="AL28" s="415"/>
    </row>
    <row r="29" spans="2:38" ht="12.75">
      <c r="B29" s="738"/>
      <c r="C29" s="700"/>
      <c r="D29" s="732"/>
      <c r="E29" s="731"/>
      <c r="F29" s="731"/>
      <c r="G29" s="727"/>
      <c r="H29" s="705"/>
      <c r="I29" s="719"/>
      <c r="J29" s="719"/>
      <c r="K29" s="430" t="s">
        <v>184</v>
      </c>
      <c r="L29" s="516"/>
      <c r="M29" s="431">
        <f t="shared" si="0"/>
        <v>0</v>
      </c>
      <c r="N29" s="432">
        <f>'Custo da Mão de Obra '!$E$13*(1-$O$5)</f>
        <v>48.469204545454545</v>
      </c>
      <c r="O29" s="693"/>
      <c r="P29" s="694"/>
      <c r="Q29" s="693"/>
      <c r="R29" s="696"/>
      <c r="S29" s="692"/>
      <c r="T29" s="698"/>
      <c r="U29" s="692"/>
      <c r="V29" s="745"/>
      <c r="W29" s="728"/>
      <c r="X29" s="730"/>
      <c r="Y29" s="434"/>
      <c r="Z29" s="434"/>
      <c r="AA29" s="435"/>
      <c r="AB29" s="435"/>
      <c r="AC29" s="434"/>
      <c r="AD29" s="415"/>
      <c r="AE29" s="415"/>
      <c r="AF29" s="436"/>
      <c r="AG29" s="440"/>
      <c r="AH29" s="441"/>
      <c r="AI29" s="415"/>
      <c r="AJ29" s="415"/>
      <c r="AK29" s="415"/>
      <c r="AL29" s="415"/>
    </row>
    <row r="30" spans="2:38" ht="12.75">
      <c r="B30" s="738"/>
      <c r="C30" s="700"/>
      <c r="D30" s="732"/>
      <c r="E30" s="731"/>
      <c r="F30" s="731"/>
      <c r="G30" s="727"/>
      <c r="H30" s="705"/>
      <c r="I30" s="719"/>
      <c r="J30" s="719"/>
      <c r="K30" s="430" t="s">
        <v>217</v>
      </c>
      <c r="L30" s="516">
        <v>30</v>
      </c>
      <c r="M30" s="431">
        <f t="shared" si="0"/>
        <v>0.5</v>
      </c>
      <c r="N30" s="432">
        <f>'Custo da Mão de Obra '!$E$14*(1-$O$5)</f>
        <v>40.00335227272728</v>
      </c>
      <c r="O30" s="693"/>
      <c r="P30" s="694"/>
      <c r="Q30" s="693"/>
      <c r="R30" s="696"/>
      <c r="S30" s="692"/>
      <c r="T30" s="698"/>
      <c r="U30" s="692"/>
      <c r="V30" s="745"/>
      <c r="W30" s="728"/>
      <c r="X30" s="730"/>
      <c r="Y30" s="434"/>
      <c r="Z30" s="434"/>
      <c r="AA30" s="435"/>
      <c r="AB30" s="435"/>
      <c r="AC30" s="434"/>
      <c r="AD30" s="415"/>
      <c r="AE30" s="415"/>
      <c r="AF30" s="436"/>
      <c r="AG30" s="440"/>
      <c r="AH30" s="441"/>
      <c r="AI30" s="415"/>
      <c r="AJ30" s="415"/>
      <c r="AK30" s="415"/>
      <c r="AL30" s="415"/>
    </row>
    <row r="31" spans="2:38" ht="12.75">
      <c r="B31" s="738"/>
      <c r="C31" s="700"/>
      <c r="D31" s="732"/>
      <c r="E31" s="731"/>
      <c r="F31" s="731"/>
      <c r="G31" s="727"/>
      <c r="H31" s="705"/>
      <c r="I31" s="720"/>
      <c r="J31" s="720"/>
      <c r="K31" s="430" t="s">
        <v>222</v>
      </c>
      <c r="L31" s="516"/>
      <c r="M31" s="431">
        <f t="shared" si="0"/>
        <v>0</v>
      </c>
      <c r="N31" s="432">
        <f>'Custo da Mão de Obra '!$E$15*(1-$O$5)</f>
        <v>19.333522727272726</v>
      </c>
      <c r="O31" s="693"/>
      <c r="P31" s="694"/>
      <c r="Q31" s="693"/>
      <c r="R31" s="697"/>
      <c r="S31" s="692"/>
      <c r="T31" s="698"/>
      <c r="U31" s="692"/>
      <c r="V31" s="745"/>
      <c r="W31" s="728"/>
      <c r="X31" s="730"/>
      <c r="Y31" s="434"/>
      <c r="Z31" s="434"/>
      <c r="AA31" s="435"/>
      <c r="AB31" s="435"/>
      <c r="AC31" s="434"/>
      <c r="AD31" s="415"/>
      <c r="AE31" s="415"/>
      <c r="AF31" s="436"/>
      <c r="AG31" s="440"/>
      <c r="AH31" s="441"/>
      <c r="AI31" s="415"/>
      <c r="AJ31" s="415"/>
      <c r="AK31" s="415"/>
      <c r="AL31" s="415"/>
    </row>
    <row r="32" spans="2:38" ht="12.75" customHeight="1">
      <c r="B32" s="738">
        <v>7</v>
      </c>
      <c r="C32" s="700" t="s">
        <v>471</v>
      </c>
      <c r="D32" s="732">
        <v>24</v>
      </c>
      <c r="E32" s="731">
        <v>2100</v>
      </c>
      <c r="F32" s="732">
        <v>6500</v>
      </c>
      <c r="G32" s="724"/>
      <c r="H32" s="705">
        <f>$I$5*G32</f>
        <v>0</v>
      </c>
      <c r="I32" s="718">
        <f>IF(G32&lt;&gt;0,G32*$I$5,H32)</f>
        <v>0</v>
      </c>
      <c r="J32" s="718">
        <f>I32*(1+$L$5)</f>
        <v>0</v>
      </c>
      <c r="K32" s="430" t="s">
        <v>205</v>
      </c>
      <c r="L32" s="516"/>
      <c r="M32" s="431">
        <f t="shared" si="0"/>
        <v>0</v>
      </c>
      <c r="N32" s="432">
        <f>'Custo da Mão de Obra '!$E$12*(1-$O$5)</f>
        <v>90.64420454545456</v>
      </c>
      <c r="O32" s="693">
        <f>SUM(M32*N32,M33*N33,M34*N34,M35*N35)</f>
        <v>20.00167613636364</v>
      </c>
      <c r="P32" s="721">
        <v>1</v>
      </c>
      <c r="Q32" s="693">
        <f>P32*O32</f>
        <v>20.00167613636364</v>
      </c>
      <c r="R32" s="695">
        <f>Q32*(1+$R$5)</f>
        <v>25.02809734943182</v>
      </c>
      <c r="S32" s="692">
        <f>I32+Q32</f>
        <v>20.00167613636364</v>
      </c>
      <c r="T32" s="692">
        <f>R32+J32</f>
        <v>25.02809734943182</v>
      </c>
      <c r="U32" s="692">
        <f>T32*(1+$U$5)</f>
        <v>26.892690601964492</v>
      </c>
      <c r="V32" s="433"/>
      <c r="W32" s="438"/>
      <c r="X32" s="439"/>
      <c r="Y32" s="434"/>
      <c r="Z32" s="434"/>
      <c r="AA32" s="435"/>
      <c r="AB32" s="435"/>
      <c r="AC32" s="434"/>
      <c r="AD32" s="415"/>
      <c r="AE32" s="415"/>
      <c r="AF32" s="436"/>
      <c r="AG32" s="440"/>
      <c r="AH32" s="441"/>
      <c r="AI32" s="415"/>
      <c r="AJ32" s="415"/>
      <c r="AK32" s="415"/>
      <c r="AL32" s="415"/>
    </row>
    <row r="33" spans="2:38" ht="12.75">
      <c r="B33" s="738"/>
      <c r="C33" s="700"/>
      <c r="D33" s="732"/>
      <c r="E33" s="731"/>
      <c r="F33" s="731"/>
      <c r="G33" s="725"/>
      <c r="H33" s="705"/>
      <c r="I33" s="719"/>
      <c r="J33" s="719"/>
      <c r="K33" s="430" t="s">
        <v>184</v>
      </c>
      <c r="L33" s="516"/>
      <c r="M33" s="431">
        <f t="shared" si="0"/>
        <v>0</v>
      </c>
      <c r="N33" s="432">
        <f>'Custo da Mão de Obra '!$E$13*(1-$O$5)</f>
        <v>48.469204545454545</v>
      </c>
      <c r="O33" s="693"/>
      <c r="P33" s="722"/>
      <c r="Q33" s="693"/>
      <c r="R33" s="696"/>
      <c r="S33" s="692"/>
      <c r="T33" s="698"/>
      <c r="U33" s="692"/>
      <c r="V33" s="433"/>
      <c r="W33" s="438"/>
      <c r="X33" s="439"/>
      <c r="Y33" s="434"/>
      <c r="Z33" s="434"/>
      <c r="AA33" s="435"/>
      <c r="AB33" s="435"/>
      <c r="AC33" s="434"/>
      <c r="AD33" s="415"/>
      <c r="AE33" s="415"/>
      <c r="AF33" s="436"/>
      <c r="AG33" s="440"/>
      <c r="AH33" s="441"/>
      <c r="AI33" s="415"/>
      <c r="AJ33" s="415"/>
      <c r="AK33" s="415"/>
      <c r="AL33" s="415"/>
    </row>
    <row r="34" spans="2:38" ht="12.75">
      <c r="B34" s="738"/>
      <c r="C34" s="700"/>
      <c r="D34" s="732"/>
      <c r="E34" s="731"/>
      <c r="F34" s="731"/>
      <c r="G34" s="725"/>
      <c r="H34" s="705"/>
      <c r="I34" s="719"/>
      <c r="J34" s="719"/>
      <c r="K34" s="430" t="s">
        <v>217</v>
      </c>
      <c r="L34" s="516">
        <v>30</v>
      </c>
      <c r="M34" s="431">
        <f t="shared" si="0"/>
        <v>0.5</v>
      </c>
      <c r="N34" s="432">
        <f>'Custo da Mão de Obra '!$E$14*(1-$O$5)</f>
        <v>40.00335227272728</v>
      </c>
      <c r="O34" s="693"/>
      <c r="P34" s="722"/>
      <c r="Q34" s="693"/>
      <c r="R34" s="696"/>
      <c r="S34" s="692"/>
      <c r="T34" s="698"/>
      <c r="U34" s="692"/>
      <c r="V34" s="433"/>
      <c r="W34" s="438"/>
      <c r="X34" s="439"/>
      <c r="Y34" s="434"/>
      <c r="Z34" s="434"/>
      <c r="AA34" s="435"/>
      <c r="AB34" s="435"/>
      <c r="AC34" s="434"/>
      <c r="AD34" s="415"/>
      <c r="AE34" s="415"/>
      <c r="AF34" s="436"/>
      <c r="AG34" s="440"/>
      <c r="AH34" s="441"/>
      <c r="AI34" s="415"/>
      <c r="AJ34" s="415"/>
      <c r="AK34" s="415"/>
      <c r="AL34" s="415"/>
    </row>
    <row r="35" spans="2:38" ht="12.75">
      <c r="B35" s="738"/>
      <c r="C35" s="700"/>
      <c r="D35" s="732"/>
      <c r="E35" s="731"/>
      <c r="F35" s="731"/>
      <c r="G35" s="726"/>
      <c r="H35" s="705"/>
      <c r="I35" s="720"/>
      <c r="J35" s="720"/>
      <c r="K35" s="430" t="s">
        <v>222</v>
      </c>
      <c r="L35" s="516"/>
      <c r="M35" s="431">
        <f t="shared" si="0"/>
        <v>0</v>
      </c>
      <c r="N35" s="432">
        <f>'Custo da Mão de Obra '!$E$15*(1-$O$5)</f>
        <v>19.333522727272726</v>
      </c>
      <c r="O35" s="693"/>
      <c r="P35" s="723"/>
      <c r="Q35" s="693"/>
      <c r="R35" s="697"/>
      <c r="S35" s="692"/>
      <c r="T35" s="698"/>
      <c r="U35" s="692"/>
      <c r="V35" s="433"/>
      <c r="W35" s="438"/>
      <c r="X35" s="439"/>
      <c r="Y35" s="434"/>
      <c r="Z35" s="434"/>
      <c r="AA35" s="435"/>
      <c r="AB35" s="435"/>
      <c r="AC35" s="434"/>
      <c r="AD35" s="415"/>
      <c r="AE35" s="415"/>
      <c r="AF35" s="436"/>
      <c r="AG35" s="440"/>
      <c r="AH35" s="441"/>
      <c r="AI35" s="415"/>
      <c r="AJ35" s="415"/>
      <c r="AK35" s="415"/>
      <c r="AL35" s="415"/>
    </row>
    <row r="36" spans="2:38" ht="12.75" customHeight="1">
      <c r="B36" s="738">
        <v>8</v>
      </c>
      <c r="C36" s="700" t="s">
        <v>472</v>
      </c>
      <c r="D36" s="732">
        <v>40</v>
      </c>
      <c r="E36" s="731">
        <v>3800</v>
      </c>
      <c r="F36" s="732">
        <v>4000</v>
      </c>
      <c r="G36" s="724"/>
      <c r="H36" s="705">
        <f>$I$5*G36</f>
        <v>0</v>
      </c>
      <c r="I36" s="718">
        <f>IF(G36&lt;&gt;0,G36*$I$5,H36)</f>
        <v>0</v>
      </c>
      <c r="J36" s="718">
        <f>I36*(1+$L$5)</f>
        <v>0</v>
      </c>
      <c r="K36" s="430" t="s">
        <v>205</v>
      </c>
      <c r="L36" s="516"/>
      <c r="M36" s="431">
        <f t="shared" si="0"/>
        <v>0</v>
      </c>
      <c r="N36" s="432">
        <f>'Custo da Mão de Obra '!$E$12*(1-$O$5)</f>
        <v>90.64420454545456</v>
      </c>
      <c r="O36" s="693">
        <f>SUM(M36*N36,M37*N37,M38*N38,M39*N39)</f>
        <v>20.00167613636364</v>
      </c>
      <c r="P36" s="721">
        <v>1</v>
      </c>
      <c r="Q36" s="693">
        <f>P36*O36</f>
        <v>20.00167613636364</v>
      </c>
      <c r="R36" s="695">
        <f>Q36*(1+$R$5)</f>
        <v>25.02809734943182</v>
      </c>
      <c r="S36" s="692">
        <f>I36+Q36</f>
        <v>20.00167613636364</v>
      </c>
      <c r="T36" s="692">
        <f>R36+J36</f>
        <v>25.02809734943182</v>
      </c>
      <c r="U36" s="692">
        <f>T36*(1+$U$5)</f>
        <v>26.892690601964492</v>
      </c>
      <c r="V36" s="433"/>
      <c r="W36" s="438"/>
      <c r="X36" s="439"/>
      <c r="Y36" s="434"/>
      <c r="Z36" s="434"/>
      <c r="AA36" s="435"/>
      <c r="AB36" s="435"/>
      <c r="AC36" s="434"/>
      <c r="AD36" s="415"/>
      <c r="AE36" s="415"/>
      <c r="AF36" s="436"/>
      <c r="AG36" s="440"/>
      <c r="AH36" s="441"/>
      <c r="AI36" s="415"/>
      <c r="AJ36" s="415"/>
      <c r="AK36" s="415"/>
      <c r="AL36" s="415"/>
    </row>
    <row r="37" spans="2:38" ht="12.75">
      <c r="B37" s="738"/>
      <c r="C37" s="700"/>
      <c r="D37" s="732"/>
      <c r="E37" s="731"/>
      <c r="F37" s="731"/>
      <c r="G37" s="725"/>
      <c r="H37" s="705"/>
      <c r="I37" s="719"/>
      <c r="J37" s="719"/>
      <c r="K37" s="430" t="s">
        <v>184</v>
      </c>
      <c r="L37" s="516"/>
      <c r="M37" s="431">
        <f t="shared" si="0"/>
        <v>0</v>
      </c>
      <c r="N37" s="432">
        <f>'Custo da Mão de Obra '!$E$13*(1-$O$5)</f>
        <v>48.469204545454545</v>
      </c>
      <c r="O37" s="693"/>
      <c r="P37" s="722"/>
      <c r="Q37" s="693"/>
      <c r="R37" s="696"/>
      <c r="S37" s="692"/>
      <c r="T37" s="698"/>
      <c r="U37" s="692"/>
      <c r="V37" s="433"/>
      <c r="W37" s="438"/>
      <c r="X37" s="439"/>
      <c r="Y37" s="434"/>
      <c r="Z37" s="434"/>
      <c r="AA37" s="435"/>
      <c r="AB37" s="435"/>
      <c r="AC37" s="434"/>
      <c r="AD37" s="415"/>
      <c r="AE37" s="415"/>
      <c r="AF37" s="436"/>
      <c r="AG37" s="440"/>
      <c r="AH37" s="441"/>
      <c r="AI37" s="415"/>
      <c r="AJ37" s="415"/>
      <c r="AK37" s="415"/>
      <c r="AL37" s="415"/>
    </row>
    <row r="38" spans="2:38" ht="12.75">
      <c r="B38" s="738"/>
      <c r="C38" s="700"/>
      <c r="D38" s="732"/>
      <c r="E38" s="731"/>
      <c r="F38" s="731"/>
      <c r="G38" s="725"/>
      <c r="H38" s="705"/>
      <c r="I38" s="719"/>
      <c r="J38" s="719"/>
      <c r="K38" s="430" t="s">
        <v>217</v>
      </c>
      <c r="L38" s="516">
        <v>30</v>
      </c>
      <c r="M38" s="431">
        <f t="shared" si="0"/>
        <v>0.5</v>
      </c>
      <c r="N38" s="432">
        <f>'Custo da Mão de Obra '!$E$14*(1-$O$5)</f>
        <v>40.00335227272728</v>
      </c>
      <c r="O38" s="693"/>
      <c r="P38" s="722"/>
      <c r="Q38" s="693"/>
      <c r="R38" s="696"/>
      <c r="S38" s="692"/>
      <c r="T38" s="698"/>
      <c r="U38" s="692"/>
      <c r="V38" s="433"/>
      <c r="W38" s="438"/>
      <c r="X38" s="439"/>
      <c r="Y38" s="434"/>
      <c r="Z38" s="434"/>
      <c r="AA38" s="435"/>
      <c r="AB38" s="435"/>
      <c r="AC38" s="434"/>
      <c r="AD38" s="415"/>
      <c r="AE38" s="415"/>
      <c r="AF38" s="436"/>
      <c r="AG38" s="440"/>
      <c r="AH38" s="441"/>
      <c r="AI38" s="415"/>
      <c r="AJ38" s="415"/>
      <c r="AK38" s="415"/>
      <c r="AL38" s="415"/>
    </row>
    <row r="39" spans="2:38" ht="12.75">
      <c r="B39" s="738"/>
      <c r="C39" s="700"/>
      <c r="D39" s="732"/>
      <c r="E39" s="731"/>
      <c r="F39" s="731"/>
      <c r="G39" s="726"/>
      <c r="H39" s="705"/>
      <c r="I39" s="720"/>
      <c r="J39" s="720"/>
      <c r="K39" s="430" t="s">
        <v>222</v>
      </c>
      <c r="L39" s="516"/>
      <c r="M39" s="431">
        <f t="shared" si="0"/>
        <v>0</v>
      </c>
      <c r="N39" s="432">
        <f>'Custo da Mão de Obra '!$E$15*(1-$O$5)</f>
        <v>19.333522727272726</v>
      </c>
      <c r="O39" s="693"/>
      <c r="P39" s="723"/>
      <c r="Q39" s="693"/>
      <c r="R39" s="697"/>
      <c r="S39" s="692"/>
      <c r="T39" s="698"/>
      <c r="U39" s="692"/>
      <c r="V39" s="433"/>
      <c r="W39" s="438"/>
      <c r="X39" s="439"/>
      <c r="Y39" s="434"/>
      <c r="Z39" s="434"/>
      <c r="AA39" s="435"/>
      <c r="AB39" s="435"/>
      <c r="AC39" s="434"/>
      <c r="AD39" s="415"/>
      <c r="AE39" s="415"/>
      <c r="AF39" s="436"/>
      <c r="AG39" s="440"/>
      <c r="AH39" s="441"/>
      <c r="AI39" s="415"/>
      <c r="AJ39" s="415"/>
      <c r="AK39" s="415"/>
      <c r="AL39" s="415"/>
    </row>
    <row r="40" spans="2:38" ht="12.75" customHeight="1">
      <c r="B40" s="738">
        <v>9</v>
      </c>
      <c r="C40" s="700" t="s">
        <v>473</v>
      </c>
      <c r="D40" s="732">
        <v>20</v>
      </c>
      <c r="E40" s="731">
        <v>1050</v>
      </c>
      <c r="F40" s="732">
        <v>6400</v>
      </c>
      <c r="G40" s="724"/>
      <c r="H40" s="705">
        <f>$I$5*G40</f>
        <v>0</v>
      </c>
      <c r="I40" s="718">
        <f>IF(G40&lt;&gt;0,G40*$I$5,H40)</f>
        <v>0</v>
      </c>
      <c r="J40" s="718">
        <f>I40*(1+$L$5)</f>
        <v>0</v>
      </c>
      <c r="K40" s="430" t="s">
        <v>205</v>
      </c>
      <c r="L40" s="516"/>
      <c r="M40" s="431">
        <f t="shared" si="0"/>
        <v>0</v>
      </c>
      <c r="N40" s="432">
        <f>'Custo da Mão de Obra '!$E$12*(1-$O$5)</f>
        <v>90.64420454545456</v>
      </c>
      <c r="O40" s="693">
        <f>SUM(M40*N40,M41*N41,M42*N42,M43*N43)</f>
        <v>20.00167613636364</v>
      </c>
      <c r="P40" s="721">
        <v>1</v>
      </c>
      <c r="Q40" s="693">
        <f>P40*O40</f>
        <v>20.00167613636364</v>
      </c>
      <c r="R40" s="695">
        <f>Q40*(1+$R$5)</f>
        <v>25.02809734943182</v>
      </c>
      <c r="S40" s="692">
        <f>I40+Q40</f>
        <v>20.00167613636364</v>
      </c>
      <c r="T40" s="692">
        <f>R40+J40</f>
        <v>25.02809734943182</v>
      </c>
      <c r="U40" s="692">
        <f>T40*(1+$U$5)</f>
        <v>26.892690601964492</v>
      </c>
      <c r="V40" s="433"/>
      <c r="W40" s="438"/>
      <c r="X40" s="439"/>
      <c r="Y40" s="434"/>
      <c r="Z40" s="434"/>
      <c r="AA40" s="435"/>
      <c r="AB40" s="435"/>
      <c r="AC40" s="434"/>
      <c r="AD40" s="415"/>
      <c r="AE40" s="415"/>
      <c r="AF40" s="436"/>
      <c r="AG40" s="440"/>
      <c r="AH40" s="441"/>
      <c r="AI40" s="415"/>
      <c r="AJ40" s="415"/>
      <c r="AK40" s="415"/>
      <c r="AL40" s="415"/>
    </row>
    <row r="41" spans="2:38" ht="12.75">
      <c r="B41" s="738"/>
      <c r="C41" s="700"/>
      <c r="D41" s="732"/>
      <c r="E41" s="731"/>
      <c r="F41" s="731"/>
      <c r="G41" s="725"/>
      <c r="H41" s="705"/>
      <c r="I41" s="719"/>
      <c r="J41" s="719"/>
      <c r="K41" s="430" t="s">
        <v>184</v>
      </c>
      <c r="L41" s="516"/>
      <c r="M41" s="431">
        <f t="shared" si="0"/>
        <v>0</v>
      </c>
      <c r="N41" s="432">
        <f>'Custo da Mão de Obra '!$E$13*(1-$O$5)</f>
        <v>48.469204545454545</v>
      </c>
      <c r="O41" s="693"/>
      <c r="P41" s="722"/>
      <c r="Q41" s="693"/>
      <c r="R41" s="696"/>
      <c r="S41" s="692"/>
      <c r="T41" s="698"/>
      <c r="U41" s="692"/>
      <c r="V41" s="433"/>
      <c r="W41" s="438"/>
      <c r="X41" s="439"/>
      <c r="Y41" s="434"/>
      <c r="Z41" s="434"/>
      <c r="AA41" s="435"/>
      <c r="AB41" s="435"/>
      <c r="AC41" s="434"/>
      <c r="AD41" s="415"/>
      <c r="AE41" s="415"/>
      <c r="AF41" s="436"/>
      <c r="AG41" s="440"/>
      <c r="AH41" s="441"/>
      <c r="AI41" s="415"/>
      <c r="AJ41" s="415"/>
      <c r="AK41" s="415"/>
      <c r="AL41" s="415"/>
    </row>
    <row r="42" spans="2:38" ht="12.75">
      <c r="B42" s="738"/>
      <c r="C42" s="700"/>
      <c r="D42" s="732"/>
      <c r="E42" s="731"/>
      <c r="F42" s="731"/>
      <c r="G42" s="725"/>
      <c r="H42" s="705"/>
      <c r="I42" s="719"/>
      <c r="J42" s="719"/>
      <c r="K42" s="430" t="s">
        <v>217</v>
      </c>
      <c r="L42" s="516">
        <v>30</v>
      </c>
      <c r="M42" s="431">
        <f t="shared" si="0"/>
        <v>0.5</v>
      </c>
      <c r="N42" s="432">
        <f>'Custo da Mão de Obra '!$E$14*(1-$O$5)</f>
        <v>40.00335227272728</v>
      </c>
      <c r="O42" s="693"/>
      <c r="P42" s="722"/>
      <c r="Q42" s="693"/>
      <c r="R42" s="696"/>
      <c r="S42" s="692"/>
      <c r="T42" s="698"/>
      <c r="U42" s="692"/>
      <c r="V42" s="433"/>
      <c r="W42" s="438"/>
      <c r="X42" s="439"/>
      <c r="Y42" s="434"/>
      <c r="Z42" s="434"/>
      <c r="AA42" s="435"/>
      <c r="AB42" s="435"/>
      <c r="AC42" s="434"/>
      <c r="AD42" s="415"/>
      <c r="AE42" s="415"/>
      <c r="AF42" s="436"/>
      <c r="AG42" s="440"/>
      <c r="AH42" s="441"/>
      <c r="AI42" s="415"/>
      <c r="AJ42" s="415"/>
      <c r="AK42" s="415"/>
      <c r="AL42" s="415"/>
    </row>
    <row r="43" spans="2:38" ht="12.75">
      <c r="B43" s="738"/>
      <c r="C43" s="700"/>
      <c r="D43" s="732"/>
      <c r="E43" s="731"/>
      <c r="F43" s="731"/>
      <c r="G43" s="726"/>
      <c r="H43" s="705"/>
      <c r="I43" s="720"/>
      <c r="J43" s="720"/>
      <c r="K43" s="430" t="s">
        <v>222</v>
      </c>
      <c r="L43" s="516"/>
      <c r="M43" s="431">
        <f t="shared" si="0"/>
        <v>0</v>
      </c>
      <c r="N43" s="432">
        <f>'Custo da Mão de Obra '!$E$15*(1-$O$5)</f>
        <v>19.333522727272726</v>
      </c>
      <c r="O43" s="693"/>
      <c r="P43" s="723"/>
      <c r="Q43" s="693"/>
      <c r="R43" s="697"/>
      <c r="S43" s="692"/>
      <c r="T43" s="698"/>
      <c r="U43" s="692"/>
      <c r="V43" s="433"/>
      <c r="W43" s="438"/>
      <c r="X43" s="439"/>
      <c r="Y43" s="434"/>
      <c r="Z43" s="434"/>
      <c r="AA43" s="435"/>
      <c r="AB43" s="435"/>
      <c r="AC43" s="434"/>
      <c r="AD43" s="415"/>
      <c r="AE43" s="415"/>
      <c r="AF43" s="436"/>
      <c r="AG43" s="440"/>
      <c r="AH43" s="441"/>
      <c r="AI43" s="415"/>
      <c r="AJ43" s="415"/>
      <c r="AK43" s="415"/>
      <c r="AL43" s="415"/>
    </row>
    <row r="44" spans="2:38" ht="12.75" customHeight="1">
      <c r="B44" s="738">
        <v>10</v>
      </c>
      <c r="C44" s="700" t="s">
        <v>474</v>
      </c>
      <c r="D44" s="732">
        <v>40</v>
      </c>
      <c r="E44" s="731">
        <v>2500</v>
      </c>
      <c r="F44" s="732">
        <v>6400</v>
      </c>
      <c r="G44" s="727"/>
      <c r="H44" s="705">
        <f>$I$5*G44</f>
        <v>0</v>
      </c>
      <c r="I44" s="718">
        <f>IF(G44&lt;&gt;0,G44*$I$5,H44)</f>
        <v>0</v>
      </c>
      <c r="J44" s="718">
        <f>I44*(1+$L$5)</f>
        <v>0</v>
      </c>
      <c r="K44" s="430" t="s">
        <v>205</v>
      </c>
      <c r="L44" s="516"/>
      <c r="M44" s="431">
        <f t="shared" si="0"/>
        <v>0</v>
      </c>
      <c r="N44" s="432">
        <f>'Custo da Mão de Obra '!$E$12*(1-$O$5)</f>
        <v>90.64420454545456</v>
      </c>
      <c r="O44" s="693">
        <f>SUM(M44*N44,M45*N45,M46*N46,M47*N47)</f>
        <v>20.00167613636364</v>
      </c>
      <c r="P44" s="694">
        <v>1</v>
      </c>
      <c r="Q44" s="693">
        <f>P44*O44</f>
        <v>20.00167613636364</v>
      </c>
      <c r="R44" s="695">
        <f>Q44*(1+$R$5)</f>
        <v>25.02809734943182</v>
      </c>
      <c r="S44" s="692">
        <f>I44+Q44</f>
        <v>20.00167613636364</v>
      </c>
      <c r="T44" s="692">
        <f>R44+J44</f>
        <v>25.02809734943182</v>
      </c>
      <c r="U44" s="692">
        <f>T44*(1+$U$5)</f>
        <v>26.892690601964492</v>
      </c>
      <c r="V44" s="745"/>
      <c r="W44" s="728"/>
      <c r="X44" s="730"/>
      <c r="Y44" s="442"/>
      <c r="Z44" s="434"/>
      <c r="AA44" s="435"/>
      <c r="AB44" s="435"/>
      <c r="AC44" s="434"/>
      <c r="AD44" s="415"/>
      <c r="AE44" s="415"/>
      <c r="AF44" s="436"/>
      <c r="AG44" s="440"/>
      <c r="AH44" s="441"/>
      <c r="AI44" s="415"/>
      <c r="AJ44" s="415"/>
      <c r="AK44" s="415"/>
      <c r="AL44" s="415"/>
    </row>
    <row r="45" spans="2:38" ht="12.75" customHeight="1">
      <c r="B45" s="738"/>
      <c r="C45" s="700"/>
      <c r="D45" s="732"/>
      <c r="E45" s="731"/>
      <c r="F45" s="731"/>
      <c r="G45" s="727"/>
      <c r="H45" s="705"/>
      <c r="I45" s="719"/>
      <c r="J45" s="719"/>
      <c r="K45" s="430" t="s">
        <v>184</v>
      </c>
      <c r="L45" s="516"/>
      <c r="M45" s="431">
        <f t="shared" si="0"/>
        <v>0</v>
      </c>
      <c r="N45" s="432">
        <f>'Custo da Mão de Obra '!$E$13*(1-$O$5)</f>
        <v>48.469204545454545</v>
      </c>
      <c r="O45" s="693"/>
      <c r="P45" s="694"/>
      <c r="Q45" s="693"/>
      <c r="R45" s="696"/>
      <c r="S45" s="692"/>
      <c r="T45" s="698"/>
      <c r="U45" s="692"/>
      <c r="V45" s="745"/>
      <c r="W45" s="728"/>
      <c r="X45" s="730"/>
      <c r="Y45" s="442"/>
      <c r="Z45" s="434"/>
      <c r="AA45" s="435"/>
      <c r="AB45" s="435"/>
      <c r="AC45" s="434"/>
      <c r="AD45" s="415"/>
      <c r="AE45" s="415"/>
      <c r="AF45" s="436"/>
      <c r="AG45" s="440"/>
      <c r="AH45" s="441"/>
      <c r="AI45" s="415"/>
      <c r="AJ45" s="415"/>
      <c r="AK45" s="415"/>
      <c r="AL45" s="415"/>
    </row>
    <row r="46" spans="2:38" ht="12.75">
      <c r="B46" s="738"/>
      <c r="C46" s="700"/>
      <c r="D46" s="732"/>
      <c r="E46" s="731"/>
      <c r="F46" s="731"/>
      <c r="G46" s="727"/>
      <c r="H46" s="705"/>
      <c r="I46" s="719"/>
      <c r="J46" s="719"/>
      <c r="K46" s="430" t="s">
        <v>217</v>
      </c>
      <c r="L46" s="516">
        <v>30</v>
      </c>
      <c r="M46" s="431">
        <f t="shared" si="0"/>
        <v>0.5</v>
      </c>
      <c r="N46" s="432">
        <f>'Custo da Mão de Obra '!$E$14*(1-$O$5)</f>
        <v>40.00335227272728</v>
      </c>
      <c r="O46" s="693"/>
      <c r="P46" s="694"/>
      <c r="Q46" s="693"/>
      <c r="R46" s="696"/>
      <c r="S46" s="692"/>
      <c r="T46" s="698"/>
      <c r="U46" s="692"/>
      <c r="V46" s="745"/>
      <c r="W46" s="728"/>
      <c r="X46" s="730"/>
      <c r="Y46" s="442"/>
      <c r="Z46" s="434"/>
      <c r="AA46" s="435"/>
      <c r="AB46" s="435"/>
      <c r="AC46" s="434"/>
      <c r="AD46" s="415"/>
      <c r="AE46" s="415"/>
      <c r="AF46" s="436"/>
      <c r="AG46" s="440"/>
      <c r="AH46" s="441"/>
      <c r="AI46" s="415"/>
      <c r="AJ46" s="415"/>
      <c r="AK46" s="415"/>
      <c r="AL46" s="415"/>
    </row>
    <row r="47" spans="2:38" ht="12.75">
      <c r="B47" s="738"/>
      <c r="C47" s="700"/>
      <c r="D47" s="732"/>
      <c r="E47" s="731"/>
      <c r="F47" s="731"/>
      <c r="G47" s="727"/>
      <c r="H47" s="705"/>
      <c r="I47" s="720"/>
      <c r="J47" s="720"/>
      <c r="K47" s="430" t="s">
        <v>222</v>
      </c>
      <c r="L47" s="516"/>
      <c r="M47" s="431">
        <f t="shared" si="0"/>
        <v>0</v>
      </c>
      <c r="N47" s="432">
        <f>'Custo da Mão de Obra '!$E$15*(1-$O$5)</f>
        <v>19.333522727272726</v>
      </c>
      <c r="O47" s="693"/>
      <c r="P47" s="694"/>
      <c r="Q47" s="693"/>
      <c r="R47" s="697"/>
      <c r="S47" s="692"/>
      <c r="T47" s="698"/>
      <c r="U47" s="692"/>
      <c r="V47" s="745"/>
      <c r="W47" s="728"/>
      <c r="X47" s="730"/>
      <c r="Y47" s="442"/>
      <c r="Z47" s="434"/>
      <c r="AA47" s="435"/>
      <c r="AB47" s="435"/>
      <c r="AC47" s="434"/>
      <c r="AD47" s="415"/>
      <c r="AE47" s="415"/>
      <c r="AF47" s="436"/>
      <c r="AG47" s="440"/>
      <c r="AH47" s="441"/>
      <c r="AI47" s="415"/>
      <c r="AJ47" s="415"/>
      <c r="AK47" s="415"/>
      <c r="AL47" s="415"/>
    </row>
    <row r="48" spans="2:38" ht="12.75" customHeight="1">
      <c r="B48" s="738">
        <v>11</v>
      </c>
      <c r="C48" s="700" t="s">
        <v>475</v>
      </c>
      <c r="D48" s="732">
        <v>6</v>
      </c>
      <c r="E48" s="731">
        <v>560</v>
      </c>
      <c r="F48" s="732">
        <v>3000</v>
      </c>
      <c r="G48" s="727"/>
      <c r="H48" s="705">
        <f>$I$5*G48</f>
        <v>0</v>
      </c>
      <c r="I48" s="718">
        <f>IF(G48&lt;&gt;0,G48*$I$5,H48)</f>
        <v>0</v>
      </c>
      <c r="J48" s="718">
        <f>I48*(1+$L$5)</f>
        <v>0</v>
      </c>
      <c r="K48" s="430" t="s">
        <v>205</v>
      </c>
      <c r="L48" s="516"/>
      <c r="M48" s="431">
        <f t="shared" si="0"/>
        <v>0</v>
      </c>
      <c r="N48" s="432">
        <f>'Custo da Mão de Obra '!$E$12*(1-$O$5)</f>
        <v>90.64420454545456</v>
      </c>
      <c r="O48" s="693">
        <f>SUM(M48*N48,M49*N49,M50*N50,M51*N51)</f>
        <v>20.00167613636364</v>
      </c>
      <c r="P48" s="694">
        <v>1</v>
      </c>
      <c r="Q48" s="693">
        <f>P48*O48</f>
        <v>20.00167613636364</v>
      </c>
      <c r="R48" s="695">
        <f>Q48*(1+$R$5)</f>
        <v>25.02809734943182</v>
      </c>
      <c r="S48" s="692">
        <f>I48+Q48</f>
        <v>20.00167613636364</v>
      </c>
      <c r="T48" s="692">
        <f>R48+J48</f>
        <v>25.02809734943182</v>
      </c>
      <c r="U48" s="692">
        <f>T48*(1+$U$5)</f>
        <v>26.892690601964492</v>
      </c>
      <c r="V48" s="433"/>
      <c r="W48" s="438"/>
      <c r="X48" s="439"/>
      <c r="Y48" s="442"/>
      <c r="Z48" s="434"/>
      <c r="AA48" s="435"/>
      <c r="AB48" s="435"/>
      <c r="AC48" s="434"/>
      <c r="AD48" s="415"/>
      <c r="AE48" s="415"/>
      <c r="AF48" s="436"/>
      <c r="AG48" s="440"/>
      <c r="AH48" s="441"/>
      <c r="AI48" s="415"/>
      <c r="AJ48" s="415"/>
      <c r="AK48" s="415"/>
      <c r="AL48" s="415"/>
    </row>
    <row r="49" spans="2:38" ht="12.75">
      <c r="B49" s="738"/>
      <c r="C49" s="700"/>
      <c r="D49" s="732"/>
      <c r="E49" s="731"/>
      <c r="F49" s="731"/>
      <c r="G49" s="727"/>
      <c r="H49" s="705"/>
      <c r="I49" s="719"/>
      <c r="J49" s="719"/>
      <c r="K49" s="430" t="s">
        <v>184</v>
      </c>
      <c r="L49" s="516"/>
      <c r="M49" s="431">
        <f t="shared" si="0"/>
        <v>0</v>
      </c>
      <c r="N49" s="432">
        <f>'Custo da Mão de Obra '!$E$13*(1-$O$5)</f>
        <v>48.469204545454545</v>
      </c>
      <c r="O49" s="693"/>
      <c r="P49" s="694"/>
      <c r="Q49" s="693"/>
      <c r="R49" s="696"/>
      <c r="S49" s="692"/>
      <c r="T49" s="698"/>
      <c r="U49" s="692"/>
      <c r="V49" s="433"/>
      <c r="W49" s="438"/>
      <c r="X49" s="439"/>
      <c r="Y49" s="442"/>
      <c r="Z49" s="434"/>
      <c r="AA49" s="435"/>
      <c r="AB49" s="435"/>
      <c r="AC49" s="434"/>
      <c r="AD49" s="415"/>
      <c r="AE49" s="415"/>
      <c r="AF49" s="436"/>
      <c r="AG49" s="440"/>
      <c r="AH49" s="441"/>
      <c r="AI49" s="415"/>
      <c r="AJ49" s="415"/>
      <c r="AK49" s="415"/>
      <c r="AL49" s="415"/>
    </row>
    <row r="50" spans="2:38" ht="12.75">
      <c r="B50" s="738"/>
      <c r="C50" s="700"/>
      <c r="D50" s="732"/>
      <c r="E50" s="731"/>
      <c r="F50" s="731"/>
      <c r="G50" s="727"/>
      <c r="H50" s="705"/>
      <c r="I50" s="719"/>
      <c r="J50" s="719"/>
      <c r="K50" s="430" t="s">
        <v>217</v>
      </c>
      <c r="L50" s="516">
        <v>30</v>
      </c>
      <c r="M50" s="431">
        <f t="shared" si="0"/>
        <v>0.5</v>
      </c>
      <c r="N50" s="432">
        <f>'Custo da Mão de Obra '!$E$14*(1-$O$5)</f>
        <v>40.00335227272728</v>
      </c>
      <c r="O50" s="693"/>
      <c r="P50" s="694"/>
      <c r="Q50" s="693"/>
      <c r="R50" s="696"/>
      <c r="S50" s="692"/>
      <c r="T50" s="698"/>
      <c r="U50" s="692"/>
      <c r="V50" s="433"/>
      <c r="W50" s="438"/>
      <c r="X50" s="439"/>
      <c r="Y50" s="442"/>
      <c r="Z50" s="434"/>
      <c r="AA50" s="435"/>
      <c r="AB50" s="435"/>
      <c r="AC50" s="434"/>
      <c r="AD50" s="415"/>
      <c r="AE50" s="415"/>
      <c r="AF50" s="436"/>
      <c r="AG50" s="440"/>
      <c r="AH50" s="441"/>
      <c r="AI50" s="415"/>
      <c r="AJ50" s="415"/>
      <c r="AK50" s="415"/>
      <c r="AL50" s="415"/>
    </row>
    <row r="51" spans="2:38" ht="12.75">
      <c r="B51" s="738"/>
      <c r="C51" s="700"/>
      <c r="D51" s="732"/>
      <c r="E51" s="731"/>
      <c r="F51" s="731"/>
      <c r="G51" s="727"/>
      <c r="H51" s="705"/>
      <c r="I51" s="720"/>
      <c r="J51" s="720"/>
      <c r="K51" s="430" t="s">
        <v>222</v>
      </c>
      <c r="L51" s="516"/>
      <c r="M51" s="431">
        <f t="shared" si="0"/>
        <v>0</v>
      </c>
      <c r="N51" s="432">
        <f>'Custo da Mão de Obra '!$E$15*(1-$O$5)</f>
        <v>19.333522727272726</v>
      </c>
      <c r="O51" s="693"/>
      <c r="P51" s="694"/>
      <c r="Q51" s="693"/>
      <c r="R51" s="697"/>
      <c r="S51" s="692"/>
      <c r="T51" s="698"/>
      <c r="U51" s="692"/>
      <c r="V51" s="433"/>
      <c r="W51" s="438"/>
      <c r="X51" s="439"/>
      <c r="Y51" s="442"/>
      <c r="Z51" s="434"/>
      <c r="AA51" s="435"/>
      <c r="AB51" s="435"/>
      <c r="AC51" s="434"/>
      <c r="AD51" s="415"/>
      <c r="AE51" s="415"/>
      <c r="AF51" s="436"/>
      <c r="AG51" s="440"/>
      <c r="AH51" s="441"/>
      <c r="AI51" s="415"/>
      <c r="AJ51" s="415"/>
      <c r="AK51" s="415"/>
      <c r="AL51" s="415"/>
    </row>
    <row r="52" spans="2:38" ht="12.75" customHeight="1">
      <c r="B52" s="738">
        <v>12</v>
      </c>
      <c r="C52" s="700" t="s">
        <v>476</v>
      </c>
      <c r="D52" s="732">
        <v>6</v>
      </c>
      <c r="E52" s="731">
        <v>560</v>
      </c>
      <c r="F52" s="732">
        <v>6500</v>
      </c>
      <c r="G52" s="727"/>
      <c r="H52" s="705">
        <f>$I$5*G52</f>
        <v>0</v>
      </c>
      <c r="I52" s="718">
        <f>IF(G52&lt;&gt;0,G52*$I$5,H52)</f>
        <v>0</v>
      </c>
      <c r="J52" s="718">
        <f>I52*(1+$L$5)</f>
        <v>0</v>
      </c>
      <c r="K52" s="430" t="s">
        <v>205</v>
      </c>
      <c r="L52" s="516"/>
      <c r="M52" s="431">
        <f t="shared" si="0"/>
        <v>0</v>
      </c>
      <c r="N52" s="432">
        <f>'Custo da Mão de Obra '!$E$12*(1-$O$5)</f>
        <v>90.64420454545456</v>
      </c>
      <c r="O52" s="693">
        <f>SUM(M52*N52,M53*N53,M54*N54,M55*N55)</f>
        <v>20.00167613636364</v>
      </c>
      <c r="P52" s="694">
        <v>1</v>
      </c>
      <c r="Q52" s="693">
        <f>P52*O52</f>
        <v>20.00167613636364</v>
      </c>
      <c r="R52" s="695">
        <f>Q52*(1+$R$5)</f>
        <v>25.02809734943182</v>
      </c>
      <c r="S52" s="692">
        <f>I52+Q52</f>
        <v>20.00167613636364</v>
      </c>
      <c r="T52" s="692">
        <f>R52+J52</f>
        <v>25.02809734943182</v>
      </c>
      <c r="U52" s="692">
        <f>T52*(1+$U$5)</f>
        <v>26.892690601964492</v>
      </c>
      <c r="V52" s="433"/>
      <c r="W52" s="438"/>
      <c r="X52" s="439"/>
      <c r="Y52" s="442"/>
      <c r="Z52" s="434"/>
      <c r="AA52" s="435"/>
      <c r="AB52" s="435"/>
      <c r="AC52" s="434"/>
      <c r="AD52" s="415"/>
      <c r="AE52" s="415"/>
      <c r="AF52" s="436"/>
      <c r="AG52" s="440"/>
      <c r="AH52" s="441"/>
      <c r="AI52" s="415"/>
      <c r="AJ52" s="415"/>
      <c r="AK52" s="415"/>
      <c r="AL52" s="415"/>
    </row>
    <row r="53" spans="2:38" ht="12.75">
      <c r="B53" s="738"/>
      <c r="C53" s="700"/>
      <c r="D53" s="732"/>
      <c r="E53" s="731"/>
      <c r="F53" s="731"/>
      <c r="G53" s="727"/>
      <c r="H53" s="705"/>
      <c r="I53" s="719"/>
      <c r="J53" s="719"/>
      <c r="K53" s="430" t="s">
        <v>184</v>
      </c>
      <c r="L53" s="516"/>
      <c r="M53" s="431">
        <f t="shared" si="0"/>
        <v>0</v>
      </c>
      <c r="N53" s="432">
        <f>'Custo da Mão de Obra '!$E$13*(1-$O$5)</f>
        <v>48.469204545454545</v>
      </c>
      <c r="O53" s="693"/>
      <c r="P53" s="694"/>
      <c r="Q53" s="693"/>
      <c r="R53" s="696"/>
      <c r="S53" s="692"/>
      <c r="T53" s="698"/>
      <c r="U53" s="692"/>
      <c r="V53" s="433"/>
      <c r="W53" s="438"/>
      <c r="X53" s="439"/>
      <c r="Y53" s="442"/>
      <c r="Z53" s="434"/>
      <c r="AA53" s="435"/>
      <c r="AB53" s="435"/>
      <c r="AC53" s="434"/>
      <c r="AD53" s="415"/>
      <c r="AE53" s="415"/>
      <c r="AF53" s="436"/>
      <c r="AG53" s="440"/>
      <c r="AH53" s="441"/>
      <c r="AI53" s="415"/>
      <c r="AJ53" s="415"/>
      <c r="AK53" s="415"/>
      <c r="AL53" s="415"/>
    </row>
    <row r="54" spans="2:38" ht="12.75">
      <c r="B54" s="738"/>
      <c r="C54" s="700"/>
      <c r="D54" s="732"/>
      <c r="E54" s="731"/>
      <c r="F54" s="731"/>
      <c r="G54" s="727"/>
      <c r="H54" s="705"/>
      <c r="I54" s="719"/>
      <c r="J54" s="719"/>
      <c r="K54" s="430" t="s">
        <v>217</v>
      </c>
      <c r="L54" s="516">
        <v>30</v>
      </c>
      <c r="M54" s="431">
        <f t="shared" si="0"/>
        <v>0.5</v>
      </c>
      <c r="N54" s="432">
        <f>'Custo da Mão de Obra '!$E$14*(1-$O$5)</f>
        <v>40.00335227272728</v>
      </c>
      <c r="O54" s="693"/>
      <c r="P54" s="694"/>
      <c r="Q54" s="693"/>
      <c r="R54" s="696"/>
      <c r="S54" s="692"/>
      <c r="T54" s="698"/>
      <c r="U54" s="692"/>
      <c r="V54" s="433"/>
      <c r="W54" s="438"/>
      <c r="X54" s="439"/>
      <c r="Y54" s="442"/>
      <c r="Z54" s="434"/>
      <c r="AA54" s="435"/>
      <c r="AB54" s="435"/>
      <c r="AC54" s="434"/>
      <c r="AD54" s="415"/>
      <c r="AE54" s="415"/>
      <c r="AF54" s="436"/>
      <c r="AG54" s="440"/>
      <c r="AH54" s="441"/>
      <c r="AI54" s="415"/>
      <c r="AJ54" s="415"/>
      <c r="AK54" s="415"/>
      <c r="AL54" s="415"/>
    </row>
    <row r="55" spans="2:38" ht="12.75">
      <c r="B55" s="738"/>
      <c r="C55" s="700"/>
      <c r="D55" s="732"/>
      <c r="E55" s="731"/>
      <c r="F55" s="731"/>
      <c r="G55" s="727"/>
      <c r="H55" s="705"/>
      <c r="I55" s="720"/>
      <c r="J55" s="720"/>
      <c r="K55" s="430" t="s">
        <v>222</v>
      </c>
      <c r="L55" s="516"/>
      <c r="M55" s="431">
        <f t="shared" si="0"/>
        <v>0</v>
      </c>
      <c r="N55" s="432">
        <f>'Custo da Mão de Obra '!$E$15*(1-$O$5)</f>
        <v>19.333522727272726</v>
      </c>
      <c r="O55" s="693"/>
      <c r="P55" s="694"/>
      <c r="Q55" s="693"/>
      <c r="R55" s="697"/>
      <c r="S55" s="692"/>
      <c r="T55" s="698"/>
      <c r="U55" s="692"/>
      <c r="V55" s="433"/>
      <c r="W55" s="438"/>
      <c r="X55" s="439"/>
      <c r="Y55" s="442"/>
      <c r="Z55" s="434"/>
      <c r="AA55" s="435"/>
      <c r="AB55" s="435"/>
      <c r="AC55" s="434"/>
      <c r="AD55" s="415"/>
      <c r="AE55" s="415"/>
      <c r="AF55" s="436"/>
      <c r="AG55" s="440"/>
      <c r="AH55" s="441"/>
      <c r="AI55" s="415"/>
      <c r="AJ55" s="415"/>
      <c r="AK55" s="415"/>
      <c r="AL55" s="415"/>
    </row>
    <row r="56" spans="2:38" ht="12.75" customHeight="1">
      <c r="B56" s="738">
        <v>13</v>
      </c>
      <c r="C56" s="710" t="s">
        <v>477</v>
      </c>
      <c r="D56" s="732">
        <v>9</v>
      </c>
      <c r="E56" s="731">
        <v>806</v>
      </c>
      <c r="F56" s="732">
        <v>3000</v>
      </c>
      <c r="G56" s="727"/>
      <c r="H56" s="705">
        <f>$I$5*G56</f>
        <v>0</v>
      </c>
      <c r="I56" s="718">
        <f>IF(G56&lt;&gt;0,G56*$I$5,H56)</f>
        <v>0</v>
      </c>
      <c r="J56" s="718">
        <f>I56*(1+$L$5)</f>
        <v>0</v>
      </c>
      <c r="K56" s="430" t="s">
        <v>205</v>
      </c>
      <c r="L56" s="516"/>
      <c r="M56" s="431">
        <f t="shared" si="0"/>
        <v>0</v>
      </c>
      <c r="N56" s="432">
        <f>'Custo da Mão de Obra '!$E$12*(1-$O$5)</f>
        <v>90.64420454545456</v>
      </c>
      <c r="O56" s="693">
        <f>SUM(M56*N56,M57*N57,M58*N58,M59*N59)</f>
        <v>20.00167613636364</v>
      </c>
      <c r="P56" s="694">
        <v>1</v>
      </c>
      <c r="Q56" s="693">
        <f>P56*O56</f>
        <v>20.00167613636364</v>
      </c>
      <c r="R56" s="695">
        <f>Q56*(1+$R$5)</f>
        <v>25.02809734943182</v>
      </c>
      <c r="S56" s="692">
        <f>I56+Q56</f>
        <v>20.00167613636364</v>
      </c>
      <c r="T56" s="692">
        <f>R56+J56</f>
        <v>25.02809734943182</v>
      </c>
      <c r="U56" s="692">
        <f>T56*(1+$U$5)</f>
        <v>26.892690601964492</v>
      </c>
      <c r="V56" s="433"/>
      <c r="W56" s="438"/>
      <c r="X56" s="439"/>
      <c r="Y56" s="442"/>
      <c r="Z56" s="434"/>
      <c r="AA56" s="435"/>
      <c r="AB56" s="435"/>
      <c r="AC56" s="434"/>
      <c r="AD56" s="415"/>
      <c r="AE56" s="415"/>
      <c r="AF56" s="436"/>
      <c r="AG56" s="440"/>
      <c r="AH56" s="441"/>
      <c r="AI56" s="415"/>
      <c r="AJ56" s="415"/>
      <c r="AK56" s="415"/>
      <c r="AL56" s="415"/>
    </row>
    <row r="57" spans="2:38" ht="12.75">
      <c r="B57" s="738"/>
      <c r="C57" s="711"/>
      <c r="D57" s="732"/>
      <c r="E57" s="731"/>
      <c r="F57" s="731"/>
      <c r="G57" s="727"/>
      <c r="H57" s="705"/>
      <c r="I57" s="719"/>
      <c r="J57" s="719"/>
      <c r="K57" s="430" t="s">
        <v>184</v>
      </c>
      <c r="L57" s="516"/>
      <c r="M57" s="431">
        <f t="shared" si="0"/>
        <v>0</v>
      </c>
      <c r="N57" s="432">
        <f>'Custo da Mão de Obra '!$E$13*(1-$O$5)</f>
        <v>48.469204545454545</v>
      </c>
      <c r="O57" s="693"/>
      <c r="P57" s="694"/>
      <c r="Q57" s="693"/>
      <c r="R57" s="696"/>
      <c r="S57" s="692"/>
      <c r="T57" s="698"/>
      <c r="U57" s="692"/>
      <c r="V57" s="433"/>
      <c r="W57" s="438"/>
      <c r="X57" s="439"/>
      <c r="Y57" s="442"/>
      <c r="Z57" s="434"/>
      <c r="AA57" s="435"/>
      <c r="AB57" s="435"/>
      <c r="AC57" s="434"/>
      <c r="AD57" s="415"/>
      <c r="AE57" s="415"/>
      <c r="AF57" s="436"/>
      <c r="AG57" s="440"/>
      <c r="AH57" s="441"/>
      <c r="AI57" s="415"/>
      <c r="AJ57" s="415"/>
      <c r="AK57" s="415"/>
      <c r="AL57" s="415"/>
    </row>
    <row r="58" spans="2:38" ht="12.75">
      <c r="B58" s="738"/>
      <c r="C58" s="711"/>
      <c r="D58" s="732"/>
      <c r="E58" s="731"/>
      <c r="F58" s="731"/>
      <c r="G58" s="727"/>
      <c r="H58" s="705"/>
      <c r="I58" s="719"/>
      <c r="J58" s="719"/>
      <c r="K58" s="430" t="s">
        <v>217</v>
      </c>
      <c r="L58" s="516">
        <v>30</v>
      </c>
      <c r="M58" s="431">
        <f t="shared" si="0"/>
        <v>0.5</v>
      </c>
      <c r="N58" s="432">
        <f>'Custo da Mão de Obra '!$E$14*(1-$O$5)</f>
        <v>40.00335227272728</v>
      </c>
      <c r="O58" s="693"/>
      <c r="P58" s="694"/>
      <c r="Q58" s="693"/>
      <c r="R58" s="696"/>
      <c r="S58" s="692"/>
      <c r="T58" s="698"/>
      <c r="U58" s="692"/>
      <c r="V58" s="433"/>
      <c r="W58" s="438"/>
      <c r="X58" s="439"/>
      <c r="Y58" s="442"/>
      <c r="Z58" s="434"/>
      <c r="AA58" s="435"/>
      <c r="AB58" s="435"/>
      <c r="AC58" s="434"/>
      <c r="AD58" s="415"/>
      <c r="AE58" s="415"/>
      <c r="AF58" s="436"/>
      <c r="AG58" s="440"/>
      <c r="AH58" s="441"/>
      <c r="AI58" s="415"/>
      <c r="AJ58" s="415"/>
      <c r="AK58" s="415"/>
      <c r="AL58" s="415"/>
    </row>
    <row r="59" spans="2:38" ht="12.75">
      <c r="B59" s="738"/>
      <c r="C59" s="712"/>
      <c r="D59" s="732"/>
      <c r="E59" s="731"/>
      <c r="F59" s="731"/>
      <c r="G59" s="727"/>
      <c r="H59" s="705"/>
      <c r="I59" s="720"/>
      <c r="J59" s="720"/>
      <c r="K59" s="430" t="s">
        <v>222</v>
      </c>
      <c r="L59" s="516"/>
      <c r="M59" s="431">
        <f t="shared" si="0"/>
        <v>0</v>
      </c>
      <c r="N59" s="432">
        <f>'Custo da Mão de Obra '!$E$15*(1-$O$5)</f>
        <v>19.333522727272726</v>
      </c>
      <c r="O59" s="693"/>
      <c r="P59" s="694"/>
      <c r="Q59" s="693"/>
      <c r="R59" s="697"/>
      <c r="S59" s="692"/>
      <c r="T59" s="698"/>
      <c r="U59" s="692"/>
      <c r="V59" s="433"/>
      <c r="W59" s="438"/>
      <c r="X59" s="439"/>
      <c r="Y59" s="442"/>
      <c r="Z59" s="434"/>
      <c r="AA59" s="435"/>
      <c r="AB59" s="435"/>
      <c r="AC59" s="434"/>
      <c r="AD59" s="415"/>
      <c r="AE59" s="415"/>
      <c r="AF59" s="436"/>
      <c r="AG59" s="440"/>
      <c r="AH59" s="441"/>
      <c r="AI59" s="415"/>
      <c r="AJ59" s="415"/>
      <c r="AK59" s="415"/>
      <c r="AL59" s="415"/>
    </row>
    <row r="60" spans="2:38" ht="12.75" customHeight="1">
      <c r="B60" s="738">
        <v>14</v>
      </c>
      <c r="C60" s="710" t="s">
        <v>478</v>
      </c>
      <c r="D60" s="732">
        <v>9</v>
      </c>
      <c r="E60" s="731">
        <v>806</v>
      </c>
      <c r="F60" s="732">
        <v>6500</v>
      </c>
      <c r="G60" s="727"/>
      <c r="H60" s="705">
        <f>$I$5*G60</f>
        <v>0</v>
      </c>
      <c r="I60" s="718">
        <f>IF(G60&lt;&gt;0,G60*$I$5,H60)</f>
        <v>0</v>
      </c>
      <c r="J60" s="718">
        <f>I60*(1+$L$5)</f>
        <v>0</v>
      </c>
      <c r="K60" s="430" t="s">
        <v>205</v>
      </c>
      <c r="L60" s="516"/>
      <c r="M60" s="431">
        <f t="shared" si="0"/>
        <v>0</v>
      </c>
      <c r="N60" s="432">
        <f>'Custo da Mão de Obra '!$E$12*(1-$O$5)</f>
        <v>90.64420454545456</v>
      </c>
      <c r="O60" s="693">
        <f>SUM(M60*N60,M61*N61,M62*N62,M63*N63)</f>
        <v>20.00167613636364</v>
      </c>
      <c r="P60" s="694">
        <v>1</v>
      </c>
      <c r="Q60" s="693">
        <f>P60*O60</f>
        <v>20.00167613636364</v>
      </c>
      <c r="R60" s="695">
        <f>Q60*(1+$R$5)</f>
        <v>25.02809734943182</v>
      </c>
      <c r="S60" s="692">
        <f>I60+Q60</f>
        <v>20.00167613636364</v>
      </c>
      <c r="T60" s="692">
        <f>R60+J60</f>
        <v>25.02809734943182</v>
      </c>
      <c r="U60" s="692">
        <f>T60*(1+$U$5)</f>
        <v>26.892690601964492</v>
      </c>
      <c r="V60" s="433"/>
      <c r="W60" s="438"/>
      <c r="X60" s="439"/>
      <c r="Y60" s="442"/>
      <c r="Z60" s="434"/>
      <c r="AA60" s="435"/>
      <c r="AB60" s="435"/>
      <c r="AC60" s="434"/>
      <c r="AD60" s="415"/>
      <c r="AE60" s="415"/>
      <c r="AF60" s="436"/>
      <c r="AG60" s="440"/>
      <c r="AH60" s="441"/>
      <c r="AI60" s="415"/>
      <c r="AJ60" s="415"/>
      <c r="AK60" s="415"/>
      <c r="AL60" s="415"/>
    </row>
    <row r="61" spans="2:38" ht="12.75">
      <c r="B61" s="738"/>
      <c r="C61" s="711"/>
      <c r="D61" s="732"/>
      <c r="E61" s="731"/>
      <c r="F61" s="731"/>
      <c r="G61" s="727"/>
      <c r="H61" s="705"/>
      <c r="I61" s="719"/>
      <c r="J61" s="719"/>
      <c r="K61" s="430" t="s">
        <v>184</v>
      </c>
      <c r="L61" s="516"/>
      <c r="M61" s="431">
        <f t="shared" si="0"/>
        <v>0</v>
      </c>
      <c r="N61" s="432">
        <f>'Custo da Mão de Obra '!$E$13*(1-$O$5)</f>
        <v>48.469204545454545</v>
      </c>
      <c r="O61" s="693"/>
      <c r="P61" s="694"/>
      <c r="Q61" s="693"/>
      <c r="R61" s="696"/>
      <c r="S61" s="692"/>
      <c r="T61" s="698"/>
      <c r="U61" s="692"/>
      <c r="V61" s="433"/>
      <c r="W61" s="438"/>
      <c r="X61" s="439"/>
      <c r="Y61" s="442"/>
      <c r="Z61" s="434"/>
      <c r="AA61" s="435"/>
      <c r="AB61" s="435"/>
      <c r="AC61" s="434"/>
      <c r="AD61" s="415"/>
      <c r="AE61" s="415"/>
      <c r="AF61" s="436"/>
      <c r="AG61" s="440"/>
      <c r="AH61" s="441"/>
      <c r="AI61" s="415"/>
      <c r="AJ61" s="415"/>
      <c r="AK61" s="415"/>
      <c r="AL61" s="415"/>
    </row>
    <row r="62" spans="2:38" ht="12.75">
      <c r="B62" s="738"/>
      <c r="C62" s="711"/>
      <c r="D62" s="732"/>
      <c r="E62" s="731"/>
      <c r="F62" s="731"/>
      <c r="G62" s="727"/>
      <c r="H62" s="705"/>
      <c r="I62" s="719"/>
      <c r="J62" s="719"/>
      <c r="K62" s="430" t="s">
        <v>217</v>
      </c>
      <c r="L62" s="516">
        <v>30</v>
      </c>
      <c r="M62" s="431">
        <f t="shared" si="0"/>
        <v>0.5</v>
      </c>
      <c r="N62" s="432">
        <f>'Custo da Mão de Obra '!$E$14*(1-$O$5)</f>
        <v>40.00335227272728</v>
      </c>
      <c r="O62" s="693"/>
      <c r="P62" s="694"/>
      <c r="Q62" s="693"/>
      <c r="R62" s="696"/>
      <c r="S62" s="692"/>
      <c r="T62" s="698"/>
      <c r="U62" s="692"/>
      <c r="V62" s="433"/>
      <c r="W62" s="438"/>
      <c r="X62" s="439"/>
      <c r="Y62" s="442"/>
      <c r="Z62" s="434"/>
      <c r="AA62" s="435"/>
      <c r="AB62" s="435"/>
      <c r="AC62" s="434"/>
      <c r="AD62" s="415"/>
      <c r="AE62" s="415"/>
      <c r="AF62" s="436"/>
      <c r="AG62" s="440"/>
      <c r="AH62" s="441"/>
      <c r="AI62" s="415"/>
      <c r="AJ62" s="415"/>
      <c r="AK62" s="415"/>
      <c r="AL62" s="415"/>
    </row>
    <row r="63" spans="2:38" ht="12.75">
      <c r="B63" s="738"/>
      <c r="C63" s="712"/>
      <c r="D63" s="732"/>
      <c r="E63" s="731"/>
      <c r="F63" s="731"/>
      <c r="G63" s="727"/>
      <c r="H63" s="705"/>
      <c r="I63" s="720"/>
      <c r="J63" s="720"/>
      <c r="K63" s="430" t="s">
        <v>222</v>
      </c>
      <c r="L63" s="516"/>
      <c r="M63" s="431">
        <f t="shared" si="0"/>
        <v>0</v>
      </c>
      <c r="N63" s="432">
        <f>'Custo da Mão de Obra '!$E$15*(1-$O$5)</f>
        <v>19.333522727272726</v>
      </c>
      <c r="O63" s="693"/>
      <c r="P63" s="694"/>
      <c r="Q63" s="693"/>
      <c r="R63" s="697"/>
      <c r="S63" s="692"/>
      <c r="T63" s="698"/>
      <c r="U63" s="692"/>
      <c r="V63" s="433"/>
      <c r="W63" s="438"/>
      <c r="X63" s="439"/>
      <c r="Y63" s="442"/>
      <c r="Z63" s="434"/>
      <c r="AA63" s="435"/>
      <c r="AB63" s="435"/>
      <c r="AC63" s="434"/>
      <c r="AD63" s="415"/>
      <c r="AE63" s="415"/>
      <c r="AF63" s="436"/>
      <c r="AG63" s="440"/>
      <c r="AH63" s="441"/>
      <c r="AI63" s="415"/>
      <c r="AJ63" s="415"/>
      <c r="AK63" s="415"/>
      <c r="AL63" s="415"/>
    </row>
    <row r="64" spans="2:38" ht="12.75" customHeight="1">
      <c r="B64" s="738">
        <v>15</v>
      </c>
      <c r="C64" s="710" t="s">
        <v>479</v>
      </c>
      <c r="D64" s="732">
        <v>12</v>
      </c>
      <c r="E64" s="731">
        <v>1060</v>
      </c>
      <c r="F64" s="732">
        <v>3000</v>
      </c>
      <c r="G64" s="727"/>
      <c r="H64" s="705">
        <f>$I$5*G64</f>
        <v>0</v>
      </c>
      <c r="I64" s="718">
        <f>IF(G64&lt;&gt;0,G64*$I$5,H64)</f>
        <v>0</v>
      </c>
      <c r="J64" s="718">
        <f>I64*(1+$L$5)</f>
        <v>0</v>
      </c>
      <c r="K64" s="430" t="s">
        <v>205</v>
      </c>
      <c r="L64" s="516"/>
      <c r="M64" s="431">
        <f t="shared" si="0"/>
        <v>0</v>
      </c>
      <c r="N64" s="432">
        <f>'Custo da Mão de Obra '!$E$12*(1-$O$5)</f>
        <v>90.64420454545456</v>
      </c>
      <c r="O64" s="693">
        <f>SUM(M64*N64,M65*N65,M66*N66,M67*N67)</f>
        <v>20.00167613636364</v>
      </c>
      <c r="P64" s="694">
        <v>1</v>
      </c>
      <c r="Q64" s="693">
        <f>P64*O64</f>
        <v>20.00167613636364</v>
      </c>
      <c r="R64" s="695">
        <f>Q64*(1+$R$5)</f>
        <v>25.02809734943182</v>
      </c>
      <c r="S64" s="692">
        <f>I64+Q64</f>
        <v>20.00167613636364</v>
      </c>
      <c r="T64" s="692">
        <f>R64+J64</f>
        <v>25.02809734943182</v>
      </c>
      <c r="U64" s="692">
        <f>T64*(1+$U$5)</f>
        <v>26.892690601964492</v>
      </c>
      <c r="V64" s="433"/>
      <c r="W64" s="438"/>
      <c r="X64" s="439"/>
      <c r="Y64" s="442"/>
      <c r="Z64" s="434"/>
      <c r="AA64" s="435"/>
      <c r="AB64" s="435"/>
      <c r="AC64" s="434"/>
      <c r="AD64" s="415"/>
      <c r="AE64" s="415"/>
      <c r="AF64" s="436"/>
      <c r="AG64" s="440"/>
      <c r="AH64" s="441"/>
      <c r="AI64" s="415"/>
      <c r="AJ64" s="415"/>
      <c r="AK64" s="415"/>
      <c r="AL64" s="415"/>
    </row>
    <row r="65" spans="2:38" ht="12.75">
      <c r="B65" s="738"/>
      <c r="C65" s="711"/>
      <c r="D65" s="732"/>
      <c r="E65" s="731"/>
      <c r="F65" s="731"/>
      <c r="G65" s="727"/>
      <c r="H65" s="705"/>
      <c r="I65" s="719"/>
      <c r="J65" s="719"/>
      <c r="K65" s="430" t="s">
        <v>184</v>
      </c>
      <c r="L65" s="516"/>
      <c r="M65" s="431">
        <f t="shared" si="0"/>
        <v>0</v>
      </c>
      <c r="N65" s="432">
        <f>'Custo da Mão de Obra '!$E$13*(1-$O$5)</f>
        <v>48.469204545454545</v>
      </c>
      <c r="O65" s="693"/>
      <c r="P65" s="694"/>
      <c r="Q65" s="693"/>
      <c r="R65" s="696"/>
      <c r="S65" s="692"/>
      <c r="T65" s="698"/>
      <c r="U65" s="692"/>
      <c r="V65" s="433"/>
      <c r="W65" s="438"/>
      <c r="X65" s="439"/>
      <c r="Y65" s="442"/>
      <c r="Z65" s="434"/>
      <c r="AA65" s="435"/>
      <c r="AB65" s="435"/>
      <c r="AC65" s="434"/>
      <c r="AD65" s="415"/>
      <c r="AE65" s="415"/>
      <c r="AF65" s="436"/>
      <c r="AG65" s="440"/>
      <c r="AH65" s="441"/>
      <c r="AI65" s="415"/>
      <c r="AJ65" s="415"/>
      <c r="AK65" s="415"/>
      <c r="AL65" s="415"/>
    </row>
    <row r="66" spans="2:38" ht="12.75">
      <c r="B66" s="738"/>
      <c r="C66" s="711"/>
      <c r="D66" s="732"/>
      <c r="E66" s="731"/>
      <c r="F66" s="731"/>
      <c r="G66" s="727"/>
      <c r="H66" s="705"/>
      <c r="I66" s="719"/>
      <c r="J66" s="719"/>
      <c r="K66" s="430" t="s">
        <v>217</v>
      </c>
      <c r="L66" s="516">
        <v>30</v>
      </c>
      <c r="M66" s="431">
        <f t="shared" si="0"/>
        <v>0.5</v>
      </c>
      <c r="N66" s="432">
        <f>'Custo da Mão de Obra '!$E$14*(1-$O$5)</f>
        <v>40.00335227272728</v>
      </c>
      <c r="O66" s="693"/>
      <c r="P66" s="694"/>
      <c r="Q66" s="693"/>
      <c r="R66" s="696"/>
      <c r="S66" s="692"/>
      <c r="T66" s="698"/>
      <c r="U66" s="692"/>
      <c r="V66" s="433"/>
      <c r="W66" s="438"/>
      <c r="X66" s="439"/>
      <c r="Y66" s="442"/>
      <c r="Z66" s="434"/>
      <c r="AA66" s="435"/>
      <c r="AB66" s="435"/>
      <c r="AC66" s="434"/>
      <c r="AD66" s="415"/>
      <c r="AE66" s="415"/>
      <c r="AF66" s="436"/>
      <c r="AG66" s="440"/>
      <c r="AH66" s="441"/>
      <c r="AI66" s="415"/>
      <c r="AJ66" s="415"/>
      <c r="AK66" s="415"/>
      <c r="AL66" s="415"/>
    </row>
    <row r="67" spans="2:38" ht="12.75">
      <c r="B67" s="738"/>
      <c r="C67" s="712"/>
      <c r="D67" s="732"/>
      <c r="E67" s="731"/>
      <c r="F67" s="731"/>
      <c r="G67" s="727"/>
      <c r="H67" s="705"/>
      <c r="I67" s="720"/>
      <c r="J67" s="720"/>
      <c r="K67" s="430" t="s">
        <v>222</v>
      </c>
      <c r="L67" s="516"/>
      <c r="M67" s="431">
        <f t="shared" si="0"/>
        <v>0</v>
      </c>
      <c r="N67" s="432">
        <f>'Custo da Mão de Obra '!$E$15*(1-$O$5)</f>
        <v>19.333522727272726</v>
      </c>
      <c r="O67" s="693"/>
      <c r="P67" s="694"/>
      <c r="Q67" s="693"/>
      <c r="R67" s="697"/>
      <c r="S67" s="692"/>
      <c r="T67" s="698"/>
      <c r="U67" s="692"/>
      <c r="V67" s="433"/>
      <c r="W67" s="438"/>
      <c r="X67" s="439"/>
      <c r="Y67" s="442"/>
      <c r="Z67" s="434"/>
      <c r="AA67" s="435"/>
      <c r="AB67" s="435"/>
      <c r="AC67" s="434"/>
      <c r="AD67" s="415"/>
      <c r="AE67" s="415"/>
      <c r="AF67" s="436"/>
      <c r="AG67" s="440"/>
      <c r="AH67" s="441"/>
      <c r="AI67" s="415"/>
      <c r="AJ67" s="415"/>
      <c r="AK67" s="415"/>
      <c r="AL67" s="415"/>
    </row>
    <row r="68" spans="2:38" ht="12.75" customHeight="1">
      <c r="B68" s="738">
        <v>16</v>
      </c>
      <c r="C68" s="710" t="s">
        <v>480</v>
      </c>
      <c r="D68" s="732">
        <v>12</v>
      </c>
      <c r="E68" s="746">
        <v>1060</v>
      </c>
      <c r="F68" s="732">
        <v>6500</v>
      </c>
      <c r="G68" s="727"/>
      <c r="H68" s="705">
        <f>$I$5*G68</f>
        <v>0</v>
      </c>
      <c r="I68" s="718">
        <f>IF(G68&lt;&gt;0,G68*$I$5,H68)</f>
        <v>0</v>
      </c>
      <c r="J68" s="718">
        <f>I68*(1+$L$5)</f>
        <v>0</v>
      </c>
      <c r="K68" s="430" t="s">
        <v>205</v>
      </c>
      <c r="L68" s="516"/>
      <c r="M68" s="431">
        <f t="shared" si="0"/>
        <v>0</v>
      </c>
      <c r="N68" s="432">
        <f>'Custo da Mão de Obra '!$E$12*(1-$O$5)</f>
        <v>90.64420454545456</v>
      </c>
      <c r="O68" s="693">
        <f>SUM(M68*N68,M69*N69,M70*N70,M71*N71)</f>
        <v>20.00167613636364</v>
      </c>
      <c r="P68" s="694">
        <v>1</v>
      </c>
      <c r="Q68" s="693">
        <f>P68*O68</f>
        <v>20.00167613636364</v>
      </c>
      <c r="R68" s="695">
        <f>Q68*(1+$R$5)</f>
        <v>25.02809734943182</v>
      </c>
      <c r="S68" s="692">
        <f>I68+Q68</f>
        <v>20.00167613636364</v>
      </c>
      <c r="T68" s="692">
        <f>R68+J68</f>
        <v>25.02809734943182</v>
      </c>
      <c r="U68" s="692">
        <f>T68*(1+$U$5)</f>
        <v>26.892690601964492</v>
      </c>
      <c r="V68" s="433"/>
      <c r="W68" s="438"/>
      <c r="X68" s="439"/>
      <c r="Y68" s="442"/>
      <c r="Z68" s="434"/>
      <c r="AA68" s="435"/>
      <c r="AB68" s="435"/>
      <c r="AC68" s="434"/>
      <c r="AD68" s="415"/>
      <c r="AE68" s="415"/>
      <c r="AF68" s="436"/>
      <c r="AG68" s="440"/>
      <c r="AH68" s="441"/>
      <c r="AI68" s="415"/>
      <c r="AJ68" s="415"/>
      <c r="AK68" s="415"/>
      <c r="AL68" s="415"/>
    </row>
    <row r="69" spans="2:38" ht="12.75">
      <c r="B69" s="738"/>
      <c r="C69" s="711"/>
      <c r="D69" s="732"/>
      <c r="E69" s="747"/>
      <c r="F69" s="731"/>
      <c r="G69" s="727"/>
      <c r="H69" s="705"/>
      <c r="I69" s="719"/>
      <c r="J69" s="719"/>
      <c r="K69" s="430" t="s">
        <v>184</v>
      </c>
      <c r="L69" s="516"/>
      <c r="M69" s="431">
        <f t="shared" si="0"/>
        <v>0</v>
      </c>
      <c r="N69" s="432">
        <f>'Custo da Mão de Obra '!$E$13*(1-$O$5)</f>
        <v>48.469204545454545</v>
      </c>
      <c r="O69" s="693"/>
      <c r="P69" s="694"/>
      <c r="Q69" s="693"/>
      <c r="R69" s="696"/>
      <c r="S69" s="692"/>
      <c r="T69" s="698"/>
      <c r="U69" s="692"/>
      <c r="V69" s="433"/>
      <c r="W69" s="438"/>
      <c r="X69" s="439"/>
      <c r="Y69" s="442"/>
      <c r="Z69" s="434"/>
      <c r="AA69" s="435"/>
      <c r="AB69" s="435"/>
      <c r="AC69" s="434"/>
      <c r="AD69" s="415"/>
      <c r="AE69" s="415"/>
      <c r="AF69" s="436"/>
      <c r="AG69" s="440"/>
      <c r="AH69" s="441"/>
      <c r="AI69" s="415"/>
      <c r="AJ69" s="415"/>
      <c r="AK69" s="415"/>
      <c r="AL69" s="415"/>
    </row>
    <row r="70" spans="2:38" ht="12.75">
      <c r="B70" s="738"/>
      <c r="C70" s="711"/>
      <c r="D70" s="732"/>
      <c r="E70" s="747"/>
      <c r="F70" s="731"/>
      <c r="G70" s="727"/>
      <c r="H70" s="705"/>
      <c r="I70" s="719"/>
      <c r="J70" s="719"/>
      <c r="K70" s="430" t="s">
        <v>217</v>
      </c>
      <c r="L70" s="516">
        <v>30</v>
      </c>
      <c r="M70" s="431">
        <f t="shared" si="0"/>
        <v>0.5</v>
      </c>
      <c r="N70" s="432">
        <f>'Custo da Mão de Obra '!$E$14*(1-$O$5)</f>
        <v>40.00335227272728</v>
      </c>
      <c r="O70" s="693"/>
      <c r="P70" s="694"/>
      <c r="Q70" s="693"/>
      <c r="R70" s="696"/>
      <c r="S70" s="692"/>
      <c r="T70" s="698"/>
      <c r="U70" s="692"/>
      <c r="V70" s="433"/>
      <c r="W70" s="438"/>
      <c r="X70" s="439"/>
      <c r="Y70" s="442"/>
      <c r="Z70" s="434"/>
      <c r="AA70" s="435"/>
      <c r="AB70" s="435"/>
      <c r="AC70" s="434"/>
      <c r="AD70" s="415"/>
      <c r="AE70" s="415"/>
      <c r="AF70" s="436"/>
      <c r="AG70" s="440"/>
      <c r="AH70" s="441"/>
      <c r="AI70" s="415"/>
      <c r="AJ70" s="415"/>
      <c r="AK70" s="415"/>
      <c r="AL70" s="415"/>
    </row>
    <row r="71" spans="2:38" ht="12.75">
      <c r="B71" s="738"/>
      <c r="C71" s="712"/>
      <c r="D71" s="732"/>
      <c r="E71" s="748"/>
      <c r="F71" s="731"/>
      <c r="G71" s="727"/>
      <c r="H71" s="705"/>
      <c r="I71" s="720"/>
      <c r="J71" s="720"/>
      <c r="K71" s="430" t="s">
        <v>222</v>
      </c>
      <c r="L71" s="516"/>
      <c r="M71" s="431">
        <f t="shared" si="0"/>
        <v>0</v>
      </c>
      <c r="N71" s="432">
        <f>'Custo da Mão de Obra '!$E$15*(1-$O$5)</f>
        <v>19.333522727272726</v>
      </c>
      <c r="O71" s="693"/>
      <c r="P71" s="694"/>
      <c r="Q71" s="693"/>
      <c r="R71" s="697"/>
      <c r="S71" s="692"/>
      <c r="T71" s="698"/>
      <c r="U71" s="692"/>
      <c r="V71" s="433"/>
      <c r="W71" s="438"/>
      <c r="X71" s="439"/>
      <c r="Y71" s="442"/>
      <c r="Z71" s="434"/>
      <c r="AA71" s="435"/>
      <c r="AB71" s="435"/>
      <c r="AC71" s="434"/>
      <c r="AD71" s="415"/>
      <c r="AE71" s="415"/>
      <c r="AF71" s="436"/>
      <c r="AG71" s="440"/>
      <c r="AH71" s="441"/>
      <c r="AI71" s="415"/>
      <c r="AJ71" s="415"/>
      <c r="AK71" s="415"/>
      <c r="AL71" s="415"/>
    </row>
    <row r="72" spans="2:38" ht="12.75" customHeight="1">
      <c r="B72" s="738">
        <v>17</v>
      </c>
      <c r="C72" s="710" t="s">
        <v>481</v>
      </c>
      <c r="D72" s="732">
        <v>14</v>
      </c>
      <c r="E72" s="746">
        <v>1521</v>
      </c>
      <c r="F72" s="732">
        <v>3000</v>
      </c>
      <c r="G72" s="727"/>
      <c r="H72" s="705">
        <f>$I$5*G72</f>
        <v>0</v>
      </c>
      <c r="I72" s="718">
        <f>IF(G72&lt;&gt;0,G72*$I$5,H72)</f>
        <v>0</v>
      </c>
      <c r="J72" s="718">
        <f>I72*(1+$L$5)</f>
        <v>0</v>
      </c>
      <c r="K72" s="443" t="s">
        <v>205</v>
      </c>
      <c r="L72" s="516"/>
      <c r="M72" s="431">
        <f t="shared" si="0"/>
        <v>0</v>
      </c>
      <c r="N72" s="432">
        <f>'Custo da Mão de Obra '!$E$12*(1-$O$5)</f>
        <v>90.64420454545456</v>
      </c>
      <c r="O72" s="693">
        <f>SUM(M72*N72,M73*N73,M74*N74,M75*N75)</f>
        <v>20.00167613636364</v>
      </c>
      <c r="P72" s="694">
        <v>1</v>
      </c>
      <c r="Q72" s="693">
        <f>P72*O72</f>
        <v>20.00167613636364</v>
      </c>
      <c r="R72" s="695">
        <f>Q72*(1+$R$5)</f>
        <v>25.02809734943182</v>
      </c>
      <c r="S72" s="692">
        <f>I72+Q72</f>
        <v>20.00167613636364</v>
      </c>
      <c r="T72" s="692">
        <f>R72+J72</f>
        <v>25.02809734943182</v>
      </c>
      <c r="U72" s="692">
        <f>T72*(1+$U$5)</f>
        <v>26.892690601964492</v>
      </c>
      <c r="V72" s="745"/>
      <c r="W72" s="728"/>
      <c r="X72" s="730"/>
      <c r="Y72" s="442"/>
      <c r="Z72" s="434"/>
      <c r="AA72" s="435"/>
      <c r="AB72" s="435"/>
      <c r="AC72" s="434"/>
      <c r="AD72" s="415"/>
      <c r="AE72" s="415"/>
      <c r="AF72" s="436"/>
      <c r="AG72" s="440"/>
      <c r="AH72" s="441"/>
      <c r="AI72" s="415"/>
      <c r="AJ72" s="415"/>
      <c r="AK72" s="415"/>
      <c r="AL72" s="415"/>
    </row>
    <row r="73" spans="2:38" ht="12.75" customHeight="1">
      <c r="B73" s="738"/>
      <c r="C73" s="711"/>
      <c r="D73" s="732"/>
      <c r="E73" s="747"/>
      <c r="F73" s="731"/>
      <c r="G73" s="727"/>
      <c r="H73" s="705"/>
      <c r="I73" s="719"/>
      <c r="J73" s="719"/>
      <c r="K73" s="443" t="s">
        <v>184</v>
      </c>
      <c r="L73" s="516"/>
      <c r="M73" s="431">
        <f aca="true" t="shared" si="1" ref="M73:M87">L73/60</f>
        <v>0</v>
      </c>
      <c r="N73" s="432">
        <f>'Custo da Mão de Obra '!$E$13*(1-$O$5)</f>
        <v>48.469204545454545</v>
      </c>
      <c r="O73" s="693"/>
      <c r="P73" s="694"/>
      <c r="Q73" s="693"/>
      <c r="R73" s="696"/>
      <c r="S73" s="692"/>
      <c r="T73" s="698"/>
      <c r="U73" s="692"/>
      <c r="V73" s="745"/>
      <c r="W73" s="728"/>
      <c r="X73" s="730"/>
      <c r="Y73" s="442"/>
      <c r="Z73" s="434"/>
      <c r="AA73" s="435"/>
      <c r="AB73" s="435"/>
      <c r="AC73" s="434"/>
      <c r="AD73" s="415"/>
      <c r="AE73" s="415"/>
      <c r="AF73" s="436"/>
      <c r="AG73" s="440"/>
      <c r="AH73" s="441"/>
      <c r="AI73" s="415"/>
      <c r="AJ73" s="415"/>
      <c r="AK73" s="415"/>
      <c r="AL73" s="415"/>
    </row>
    <row r="74" spans="2:38" ht="12.75">
      <c r="B74" s="738"/>
      <c r="C74" s="711"/>
      <c r="D74" s="732"/>
      <c r="E74" s="747"/>
      <c r="F74" s="731"/>
      <c r="G74" s="727"/>
      <c r="H74" s="705"/>
      <c r="I74" s="719"/>
      <c r="J74" s="719"/>
      <c r="K74" s="443" t="s">
        <v>217</v>
      </c>
      <c r="L74" s="516">
        <v>30</v>
      </c>
      <c r="M74" s="431">
        <f t="shared" si="1"/>
        <v>0.5</v>
      </c>
      <c r="N74" s="432">
        <f>'Custo da Mão de Obra '!$E$14*(1-$O$5)</f>
        <v>40.00335227272728</v>
      </c>
      <c r="O74" s="693"/>
      <c r="P74" s="694"/>
      <c r="Q74" s="693"/>
      <c r="R74" s="696"/>
      <c r="S74" s="692"/>
      <c r="T74" s="698"/>
      <c r="U74" s="692"/>
      <c r="V74" s="745"/>
      <c r="W74" s="728"/>
      <c r="X74" s="730"/>
      <c r="Y74" s="442"/>
      <c r="Z74" s="434"/>
      <c r="AA74" s="435"/>
      <c r="AB74" s="435"/>
      <c r="AC74" s="434"/>
      <c r="AD74" s="415"/>
      <c r="AE74" s="415"/>
      <c r="AF74" s="436"/>
      <c r="AG74" s="440"/>
      <c r="AH74" s="441"/>
      <c r="AI74" s="415"/>
      <c r="AJ74" s="415"/>
      <c r="AK74" s="415"/>
      <c r="AL74" s="415"/>
    </row>
    <row r="75" spans="2:38" ht="12.75">
      <c r="B75" s="738"/>
      <c r="C75" s="712"/>
      <c r="D75" s="732"/>
      <c r="E75" s="748"/>
      <c r="F75" s="731"/>
      <c r="G75" s="727"/>
      <c r="H75" s="705"/>
      <c r="I75" s="720"/>
      <c r="J75" s="720"/>
      <c r="K75" s="443" t="s">
        <v>222</v>
      </c>
      <c r="L75" s="516"/>
      <c r="M75" s="431">
        <f t="shared" si="1"/>
        <v>0</v>
      </c>
      <c r="N75" s="432">
        <f>'Custo da Mão de Obra '!$E$15*(1-$O$5)</f>
        <v>19.333522727272726</v>
      </c>
      <c r="O75" s="693"/>
      <c r="P75" s="694"/>
      <c r="Q75" s="693"/>
      <c r="R75" s="697"/>
      <c r="S75" s="692"/>
      <c r="T75" s="698"/>
      <c r="U75" s="692"/>
      <c r="V75" s="745"/>
      <c r="W75" s="728"/>
      <c r="X75" s="730"/>
      <c r="Y75" s="442"/>
      <c r="Z75" s="434"/>
      <c r="AA75" s="435"/>
      <c r="AB75" s="435"/>
      <c r="AC75" s="434"/>
      <c r="AD75" s="415"/>
      <c r="AE75" s="415"/>
      <c r="AF75" s="436"/>
      <c r="AG75" s="440"/>
      <c r="AH75" s="441"/>
      <c r="AI75" s="415"/>
      <c r="AJ75" s="415"/>
      <c r="AK75" s="415"/>
      <c r="AL75" s="415"/>
    </row>
    <row r="76" spans="2:38" ht="12.75" customHeight="1">
      <c r="B76" s="738">
        <v>18</v>
      </c>
      <c r="C76" s="710" t="s">
        <v>482</v>
      </c>
      <c r="D76" s="732">
        <v>14</v>
      </c>
      <c r="E76" s="731">
        <v>1600</v>
      </c>
      <c r="F76" s="732">
        <v>6500</v>
      </c>
      <c r="G76" s="727"/>
      <c r="H76" s="705">
        <f>$I$5*G76</f>
        <v>0</v>
      </c>
      <c r="I76" s="718">
        <f>IF(G76&lt;&gt;0,G76*$I$5,H76)</f>
        <v>0</v>
      </c>
      <c r="J76" s="718">
        <f>I76*(1+$L$5)</f>
        <v>0</v>
      </c>
      <c r="K76" s="443" t="s">
        <v>205</v>
      </c>
      <c r="L76" s="516"/>
      <c r="M76" s="431">
        <f t="shared" si="1"/>
        <v>0</v>
      </c>
      <c r="N76" s="432">
        <f>'Custo da Mão de Obra '!$E$12*(1-$O$5)</f>
        <v>90.64420454545456</v>
      </c>
      <c r="O76" s="693">
        <f>SUM(M76*N76,M77*N77,M78*N78,M79*N79)</f>
        <v>20.00167613636364</v>
      </c>
      <c r="P76" s="694">
        <v>1</v>
      </c>
      <c r="Q76" s="693">
        <f>P76*O76</f>
        <v>20.00167613636364</v>
      </c>
      <c r="R76" s="695">
        <f>Q76*(1+$R$5)</f>
        <v>25.02809734943182</v>
      </c>
      <c r="S76" s="692">
        <f>I76+Q76</f>
        <v>20.00167613636364</v>
      </c>
      <c r="T76" s="692">
        <f>R76+J76</f>
        <v>25.02809734943182</v>
      </c>
      <c r="U76" s="692">
        <f>T76*(1+$U$5)</f>
        <v>26.892690601964492</v>
      </c>
      <c r="V76" s="745"/>
      <c r="W76" s="728"/>
      <c r="X76" s="730"/>
      <c r="Y76" s="442"/>
      <c r="Z76" s="434"/>
      <c r="AA76" s="435"/>
      <c r="AB76" s="435"/>
      <c r="AC76" s="434"/>
      <c r="AD76" s="415"/>
      <c r="AE76" s="415"/>
      <c r="AF76" s="436"/>
      <c r="AG76" s="440"/>
      <c r="AH76" s="441"/>
      <c r="AI76" s="415"/>
      <c r="AJ76" s="415"/>
      <c r="AK76" s="415"/>
      <c r="AL76" s="415"/>
    </row>
    <row r="77" spans="2:38" ht="12.75">
      <c r="B77" s="738"/>
      <c r="C77" s="711"/>
      <c r="D77" s="732"/>
      <c r="E77" s="731"/>
      <c r="F77" s="731"/>
      <c r="G77" s="727"/>
      <c r="H77" s="705"/>
      <c r="I77" s="719"/>
      <c r="J77" s="719"/>
      <c r="K77" s="443" t="s">
        <v>184</v>
      </c>
      <c r="L77" s="516"/>
      <c r="M77" s="431">
        <f t="shared" si="1"/>
        <v>0</v>
      </c>
      <c r="N77" s="432">
        <f>'Custo da Mão de Obra '!$E$13*(1-$O$5)</f>
        <v>48.469204545454545</v>
      </c>
      <c r="O77" s="693"/>
      <c r="P77" s="694"/>
      <c r="Q77" s="693"/>
      <c r="R77" s="696"/>
      <c r="S77" s="692"/>
      <c r="T77" s="698"/>
      <c r="U77" s="692"/>
      <c r="V77" s="745"/>
      <c r="W77" s="728"/>
      <c r="X77" s="730"/>
      <c r="Y77" s="442"/>
      <c r="Z77" s="434"/>
      <c r="AA77" s="435"/>
      <c r="AB77" s="435"/>
      <c r="AC77" s="434"/>
      <c r="AD77" s="415"/>
      <c r="AE77" s="415"/>
      <c r="AF77" s="436"/>
      <c r="AG77" s="440"/>
      <c r="AH77" s="441"/>
      <c r="AI77" s="415"/>
      <c r="AJ77" s="415"/>
      <c r="AK77" s="415"/>
      <c r="AL77" s="415"/>
    </row>
    <row r="78" spans="2:38" ht="12.75">
      <c r="B78" s="738"/>
      <c r="C78" s="711"/>
      <c r="D78" s="732"/>
      <c r="E78" s="731"/>
      <c r="F78" s="731"/>
      <c r="G78" s="727"/>
      <c r="H78" s="705"/>
      <c r="I78" s="719"/>
      <c r="J78" s="719"/>
      <c r="K78" s="443" t="s">
        <v>217</v>
      </c>
      <c r="L78" s="516">
        <v>30</v>
      </c>
      <c r="M78" s="431">
        <f t="shared" si="1"/>
        <v>0.5</v>
      </c>
      <c r="N78" s="432">
        <f>'Custo da Mão de Obra '!$E$14*(1-$O$5)</f>
        <v>40.00335227272728</v>
      </c>
      <c r="O78" s="693"/>
      <c r="P78" s="694"/>
      <c r="Q78" s="693"/>
      <c r="R78" s="696"/>
      <c r="S78" s="692"/>
      <c r="T78" s="698"/>
      <c r="U78" s="692"/>
      <c r="V78" s="745"/>
      <c r="W78" s="728"/>
      <c r="X78" s="730"/>
      <c r="Y78" s="442"/>
      <c r="Z78" s="434"/>
      <c r="AA78" s="435"/>
      <c r="AB78" s="435"/>
      <c r="AC78" s="434"/>
      <c r="AD78" s="415"/>
      <c r="AE78" s="415"/>
      <c r="AF78" s="436"/>
      <c r="AG78" s="440"/>
      <c r="AH78" s="441"/>
      <c r="AI78" s="415"/>
      <c r="AJ78" s="415"/>
      <c r="AK78" s="415"/>
      <c r="AL78" s="415"/>
    </row>
    <row r="79" spans="2:38" ht="12.75">
      <c r="B79" s="738"/>
      <c r="C79" s="712"/>
      <c r="D79" s="732"/>
      <c r="E79" s="731"/>
      <c r="F79" s="731"/>
      <c r="G79" s="727"/>
      <c r="H79" s="705"/>
      <c r="I79" s="720"/>
      <c r="J79" s="720"/>
      <c r="K79" s="443" t="s">
        <v>222</v>
      </c>
      <c r="L79" s="516"/>
      <c r="M79" s="431">
        <f t="shared" si="1"/>
        <v>0</v>
      </c>
      <c r="N79" s="432">
        <f>'Custo da Mão de Obra '!$E$15*(1-$O$5)</f>
        <v>19.333522727272726</v>
      </c>
      <c r="O79" s="693"/>
      <c r="P79" s="694"/>
      <c r="Q79" s="693"/>
      <c r="R79" s="697"/>
      <c r="S79" s="692"/>
      <c r="T79" s="698"/>
      <c r="U79" s="692"/>
      <c r="V79" s="745"/>
      <c r="W79" s="728"/>
      <c r="X79" s="730"/>
      <c r="Y79" s="442"/>
      <c r="Z79" s="434"/>
      <c r="AA79" s="435"/>
      <c r="AB79" s="435"/>
      <c r="AC79" s="434"/>
      <c r="AD79" s="415"/>
      <c r="AE79" s="415"/>
      <c r="AF79" s="436"/>
      <c r="AG79" s="440"/>
      <c r="AH79" s="441"/>
      <c r="AI79" s="415"/>
      <c r="AJ79" s="415"/>
      <c r="AK79" s="415"/>
      <c r="AL79" s="415"/>
    </row>
    <row r="80" spans="2:38" ht="12.75" customHeight="1">
      <c r="B80" s="738">
        <v>19</v>
      </c>
      <c r="C80" s="710" t="s">
        <v>483</v>
      </c>
      <c r="D80" s="732">
        <v>15</v>
      </c>
      <c r="E80" s="731">
        <v>1320</v>
      </c>
      <c r="F80" s="732">
        <v>3000</v>
      </c>
      <c r="G80" s="727"/>
      <c r="H80" s="705">
        <f>$I$5*G80</f>
        <v>0</v>
      </c>
      <c r="I80" s="718">
        <f>IF(G80&lt;&gt;0,G80*$I$5,H80)</f>
        <v>0</v>
      </c>
      <c r="J80" s="718">
        <f>I80*(1+$L$5)</f>
        <v>0</v>
      </c>
      <c r="K80" s="443" t="s">
        <v>205</v>
      </c>
      <c r="L80" s="516"/>
      <c r="M80" s="431">
        <f t="shared" si="1"/>
        <v>0</v>
      </c>
      <c r="N80" s="432">
        <f>'Custo da Mão de Obra '!$E$12*(1-$O$5)</f>
        <v>90.64420454545456</v>
      </c>
      <c r="O80" s="693">
        <f>SUM(M80*N80,M81*N81,M82*N82,M83*N83)</f>
        <v>20.00167613636364</v>
      </c>
      <c r="P80" s="694">
        <v>1</v>
      </c>
      <c r="Q80" s="693">
        <f>P80*O80</f>
        <v>20.00167613636364</v>
      </c>
      <c r="R80" s="695">
        <f>Q80*(1+$R$5)</f>
        <v>25.02809734943182</v>
      </c>
      <c r="S80" s="692">
        <f>I80+Q80</f>
        <v>20.00167613636364</v>
      </c>
      <c r="T80" s="692">
        <f>R80+J80</f>
        <v>25.02809734943182</v>
      </c>
      <c r="U80" s="692">
        <f>T80*(1+$U$5)</f>
        <v>26.892690601964492</v>
      </c>
      <c r="V80" s="433"/>
      <c r="W80" s="438"/>
      <c r="X80" s="439"/>
      <c r="Y80" s="442"/>
      <c r="Z80" s="434"/>
      <c r="AA80" s="435"/>
      <c r="AB80" s="435"/>
      <c r="AC80" s="434"/>
      <c r="AD80" s="415"/>
      <c r="AE80" s="415"/>
      <c r="AF80" s="436"/>
      <c r="AG80" s="440"/>
      <c r="AH80" s="441"/>
      <c r="AI80" s="415"/>
      <c r="AJ80" s="415"/>
      <c r="AK80" s="415"/>
      <c r="AL80" s="415"/>
    </row>
    <row r="81" spans="2:38" ht="12.75">
      <c r="B81" s="738"/>
      <c r="C81" s="711"/>
      <c r="D81" s="732"/>
      <c r="E81" s="731"/>
      <c r="F81" s="731"/>
      <c r="G81" s="727"/>
      <c r="H81" s="705"/>
      <c r="I81" s="719"/>
      <c r="J81" s="719"/>
      <c r="K81" s="443" t="s">
        <v>184</v>
      </c>
      <c r="L81" s="516"/>
      <c r="M81" s="431">
        <f t="shared" si="1"/>
        <v>0</v>
      </c>
      <c r="N81" s="432">
        <f>'Custo da Mão de Obra '!$E$13*(1-$O$5)</f>
        <v>48.469204545454545</v>
      </c>
      <c r="O81" s="693"/>
      <c r="P81" s="694"/>
      <c r="Q81" s="693"/>
      <c r="R81" s="696"/>
      <c r="S81" s="692"/>
      <c r="T81" s="698"/>
      <c r="U81" s="692"/>
      <c r="V81" s="433"/>
      <c r="W81" s="438"/>
      <c r="X81" s="439"/>
      <c r="Y81" s="442"/>
      <c r="Z81" s="434"/>
      <c r="AA81" s="435"/>
      <c r="AB81" s="435"/>
      <c r="AC81" s="434"/>
      <c r="AD81" s="415"/>
      <c r="AE81" s="415"/>
      <c r="AF81" s="436"/>
      <c r="AG81" s="440"/>
      <c r="AH81" s="441"/>
      <c r="AI81" s="415"/>
      <c r="AJ81" s="415"/>
      <c r="AK81" s="415"/>
      <c r="AL81" s="415"/>
    </row>
    <row r="82" spans="2:38" ht="12.75">
      <c r="B82" s="738"/>
      <c r="C82" s="711"/>
      <c r="D82" s="732"/>
      <c r="E82" s="731"/>
      <c r="F82" s="731"/>
      <c r="G82" s="727"/>
      <c r="H82" s="705"/>
      <c r="I82" s="719"/>
      <c r="J82" s="719"/>
      <c r="K82" s="443" t="s">
        <v>217</v>
      </c>
      <c r="L82" s="516">
        <v>30</v>
      </c>
      <c r="M82" s="431">
        <f t="shared" si="1"/>
        <v>0.5</v>
      </c>
      <c r="N82" s="432">
        <f>'Custo da Mão de Obra '!$E$14*(1-$O$5)</f>
        <v>40.00335227272728</v>
      </c>
      <c r="O82" s="693"/>
      <c r="P82" s="694"/>
      <c r="Q82" s="693"/>
      <c r="R82" s="696"/>
      <c r="S82" s="692"/>
      <c r="T82" s="698"/>
      <c r="U82" s="692"/>
      <c r="V82" s="433"/>
      <c r="W82" s="438"/>
      <c r="X82" s="439"/>
      <c r="Y82" s="442"/>
      <c r="Z82" s="434"/>
      <c r="AA82" s="435"/>
      <c r="AB82" s="435"/>
      <c r="AC82" s="434"/>
      <c r="AD82" s="415"/>
      <c r="AE82" s="415"/>
      <c r="AF82" s="436"/>
      <c r="AG82" s="440"/>
      <c r="AH82" s="441"/>
      <c r="AI82" s="415"/>
      <c r="AJ82" s="415"/>
      <c r="AK82" s="415"/>
      <c r="AL82" s="415"/>
    </row>
    <row r="83" spans="2:38" ht="12.75">
      <c r="B83" s="738"/>
      <c r="C83" s="712"/>
      <c r="D83" s="732"/>
      <c r="E83" s="731"/>
      <c r="F83" s="731"/>
      <c r="G83" s="727"/>
      <c r="H83" s="705"/>
      <c r="I83" s="720"/>
      <c r="J83" s="720"/>
      <c r="K83" s="443" t="s">
        <v>222</v>
      </c>
      <c r="L83" s="516"/>
      <c r="M83" s="431">
        <f t="shared" si="1"/>
        <v>0</v>
      </c>
      <c r="N83" s="432">
        <f>'Custo da Mão de Obra '!$E$15*(1-$O$5)</f>
        <v>19.333522727272726</v>
      </c>
      <c r="O83" s="693"/>
      <c r="P83" s="694"/>
      <c r="Q83" s="693"/>
      <c r="R83" s="697"/>
      <c r="S83" s="692"/>
      <c r="T83" s="698"/>
      <c r="U83" s="692"/>
      <c r="V83" s="433"/>
      <c r="W83" s="438"/>
      <c r="X83" s="439"/>
      <c r="Y83" s="442"/>
      <c r="Z83" s="434"/>
      <c r="AA83" s="435"/>
      <c r="AB83" s="435"/>
      <c r="AC83" s="434"/>
      <c r="AD83" s="415"/>
      <c r="AE83" s="415"/>
      <c r="AF83" s="436"/>
      <c r="AG83" s="440"/>
      <c r="AH83" s="441"/>
      <c r="AI83" s="415"/>
      <c r="AJ83" s="415"/>
      <c r="AK83" s="415"/>
      <c r="AL83" s="415"/>
    </row>
    <row r="84" spans="2:38" ht="12.75" customHeight="1">
      <c r="B84" s="738">
        <v>20</v>
      </c>
      <c r="C84" s="710" t="s">
        <v>484</v>
      </c>
      <c r="D84" s="732">
        <v>15</v>
      </c>
      <c r="E84" s="731">
        <v>1320</v>
      </c>
      <c r="F84" s="732">
        <v>6500</v>
      </c>
      <c r="G84" s="727"/>
      <c r="H84" s="705">
        <f>$I$5*G84</f>
        <v>0</v>
      </c>
      <c r="I84" s="718">
        <f>IF(G84&lt;&gt;0,G84*$I$5,H84)</f>
        <v>0</v>
      </c>
      <c r="J84" s="718">
        <f>I84*(1+$L$5)</f>
        <v>0</v>
      </c>
      <c r="K84" s="430" t="s">
        <v>205</v>
      </c>
      <c r="L84" s="516"/>
      <c r="M84" s="431">
        <f t="shared" si="1"/>
        <v>0</v>
      </c>
      <c r="N84" s="432">
        <f>'Custo da Mão de Obra '!$E$12*(1-$O$5)</f>
        <v>90.64420454545456</v>
      </c>
      <c r="O84" s="693">
        <f>SUM(M84*N84,M85*N85,M86*N86,M87*N87)</f>
        <v>20.00167613636364</v>
      </c>
      <c r="P84" s="694">
        <v>1</v>
      </c>
      <c r="Q84" s="693">
        <f>P84*O84</f>
        <v>20.00167613636364</v>
      </c>
      <c r="R84" s="695">
        <f>Q84*(1+$R$5)</f>
        <v>25.02809734943182</v>
      </c>
      <c r="S84" s="692">
        <f>I84+Q84</f>
        <v>20.00167613636364</v>
      </c>
      <c r="T84" s="692">
        <f>R84+J84</f>
        <v>25.02809734943182</v>
      </c>
      <c r="U84" s="692">
        <f>T84*(1+$U$5)</f>
        <v>26.892690601964492</v>
      </c>
      <c r="V84" s="745"/>
      <c r="W84" s="728"/>
      <c r="X84" s="730"/>
      <c r="Y84" s="442"/>
      <c r="Z84" s="434"/>
      <c r="AA84" s="435"/>
      <c r="AB84" s="435"/>
      <c r="AC84" s="434"/>
      <c r="AD84" s="415"/>
      <c r="AE84" s="415"/>
      <c r="AF84" s="436"/>
      <c r="AG84" s="440"/>
      <c r="AH84" s="441"/>
      <c r="AI84" s="415"/>
      <c r="AJ84" s="415"/>
      <c r="AK84" s="415"/>
      <c r="AL84" s="415"/>
    </row>
    <row r="85" spans="2:38" ht="12.75" customHeight="1">
      <c r="B85" s="738"/>
      <c r="C85" s="711"/>
      <c r="D85" s="732"/>
      <c r="E85" s="731"/>
      <c r="F85" s="731"/>
      <c r="G85" s="727"/>
      <c r="H85" s="705"/>
      <c r="I85" s="719"/>
      <c r="J85" s="719"/>
      <c r="K85" s="430" t="s">
        <v>184</v>
      </c>
      <c r="L85" s="516"/>
      <c r="M85" s="431">
        <f t="shared" si="1"/>
        <v>0</v>
      </c>
      <c r="N85" s="432">
        <f>'Custo da Mão de Obra '!$E$13*(1-$O$5)</f>
        <v>48.469204545454545</v>
      </c>
      <c r="O85" s="693"/>
      <c r="P85" s="694"/>
      <c r="Q85" s="693"/>
      <c r="R85" s="696"/>
      <c r="S85" s="692"/>
      <c r="T85" s="698"/>
      <c r="U85" s="692"/>
      <c r="V85" s="745"/>
      <c r="W85" s="728"/>
      <c r="X85" s="730"/>
      <c r="Y85" s="442"/>
      <c r="Z85" s="434"/>
      <c r="AA85" s="435"/>
      <c r="AB85" s="435"/>
      <c r="AC85" s="434"/>
      <c r="AD85" s="415"/>
      <c r="AE85" s="415"/>
      <c r="AF85" s="436"/>
      <c r="AG85" s="440"/>
      <c r="AH85" s="441"/>
      <c r="AI85" s="415"/>
      <c r="AJ85" s="415"/>
      <c r="AK85" s="415"/>
      <c r="AL85" s="415"/>
    </row>
    <row r="86" spans="2:38" ht="12.75">
      <c r="B86" s="738"/>
      <c r="C86" s="711"/>
      <c r="D86" s="732"/>
      <c r="E86" s="731"/>
      <c r="F86" s="731"/>
      <c r="G86" s="727"/>
      <c r="H86" s="705"/>
      <c r="I86" s="719"/>
      <c r="J86" s="719"/>
      <c r="K86" s="430" t="s">
        <v>217</v>
      </c>
      <c r="L86" s="516">
        <v>30</v>
      </c>
      <c r="M86" s="431">
        <f t="shared" si="1"/>
        <v>0.5</v>
      </c>
      <c r="N86" s="432">
        <f>'Custo da Mão de Obra '!$E$14*(1-$O$5)</f>
        <v>40.00335227272728</v>
      </c>
      <c r="O86" s="693"/>
      <c r="P86" s="694"/>
      <c r="Q86" s="693"/>
      <c r="R86" s="696"/>
      <c r="S86" s="692"/>
      <c r="T86" s="698"/>
      <c r="U86" s="692"/>
      <c r="V86" s="745"/>
      <c r="W86" s="728"/>
      <c r="X86" s="730"/>
      <c r="Y86" s="442"/>
      <c r="Z86" s="434"/>
      <c r="AA86" s="435"/>
      <c r="AB86" s="435"/>
      <c r="AC86" s="434"/>
      <c r="AD86" s="415"/>
      <c r="AE86" s="415"/>
      <c r="AF86" s="436"/>
      <c r="AG86" s="440"/>
      <c r="AH86" s="441"/>
      <c r="AI86" s="415"/>
      <c r="AJ86" s="415"/>
      <c r="AK86" s="415"/>
      <c r="AL86" s="415"/>
    </row>
    <row r="87" spans="2:38" ht="12.75">
      <c r="B87" s="738"/>
      <c r="C87" s="712"/>
      <c r="D87" s="732"/>
      <c r="E87" s="731"/>
      <c r="F87" s="731"/>
      <c r="G87" s="727"/>
      <c r="H87" s="705"/>
      <c r="I87" s="720"/>
      <c r="J87" s="720"/>
      <c r="K87" s="430" t="s">
        <v>222</v>
      </c>
      <c r="L87" s="516"/>
      <c r="M87" s="431">
        <f t="shared" si="1"/>
        <v>0</v>
      </c>
      <c r="N87" s="432">
        <f>'Custo da Mão de Obra '!$E$15*(1-$O$5)</f>
        <v>19.333522727272726</v>
      </c>
      <c r="O87" s="693"/>
      <c r="P87" s="694"/>
      <c r="Q87" s="693"/>
      <c r="R87" s="697"/>
      <c r="S87" s="692"/>
      <c r="T87" s="698"/>
      <c r="U87" s="692"/>
      <c r="V87" s="745"/>
      <c r="W87" s="728"/>
      <c r="X87" s="730"/>
      <c r="Y87" s="442"/>
      <c r="Z87" s="434"/>
      <c r="AA87" s="435"/>
      <c r="AB87" s="435"/>
      <c r="AC87" s="434"/>
      <c r="AD87" s="415"/>
      <c r="AE87" s="415"/>
      <c r="AF87" s="436"/>
      <c r="AG87" s="440"/>
      <c r="AH87" s="441"/>
      <c r="AI87" s="415"/>
      <c r="AJ87" s="415"/>
      <c r="AK87" s="415"/>
      <c r="AL87" s="415"/>
    </row>
    <row r="88" spans="2:39" ht="18" customHeight="1">
      <c r="B88" s="444"/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X88" s="445"/>
      <c r="Y88" s="415"/>
      <c r="Z88" s="446"/>
      <c r="AA88" s="447"/>
      <c r="AB88" s="441"/>
      <c r="AC88" s="448"/>
      <c r="AD88" s="448"/>
      <c r="AE88" s="415"/>
      <c r="AF88" s="415"/>
      <c r="AG88" s="415"/>
      <c r="AH88" s="415"/>
      <c r="AI88" s="436"/>
      <c r="AJ88" s="440"/>
      <c r="AK88" s="415"/>
      <c r="AL88" s="415"/>
      <c r="AM88" s="415"/>
    </row>
    <row r="89" spans="2:38" ht="55.5" customHeight="1">
      <c r="B89" s="449" t="s">
        <v>154</v>
      </c>
      <c r="C89" s="449" t="s">
        <v>485</v>
      </c>
      <c r="D89" s="450" t="s">
        <v>463</v>
      </c>
      <c r="E89" s="450" t="s">
        <v>486</v>
      </c>
      <c r="F89" s="450" t="s">
        <v>464</v>
      </c>
      <c r="G89" s="450" t="s">
        <v>224</v>
      </c>
      <c r="H89" s="450" t="s">
        <v>225</v>
      </c>
      <c r="I89" s="451" t="s">
        <v>232</v>
      </c>
      <c r="J89" s="452" t="s">
        <v>419</v>
      </c>
      <c r="K89" s="453" t="s">
        <v>181</v>
      </c>
      <c r="L89" s="454" t="s">
        <v>223</v>
      </c>
      <c r="M89" s="454" t="s">
        <v>221</v>
      </c>
      <c r="N89" s="454" t="s">
        <v>226</v>
      </c>
      <c r="O89" s="454" t="s">
        <v>363</v>
      </c>
      <c r="P89" s="454" t="s">
        <v>230</v>
      </c>
      <c r="Q89" s="454" t="s">
        <v>231</v>
      </c>
      <c r="R89" s="454" t="s">
        <v>420</v>
      </c>
      <c r="S89" s="455" t="s">
        <v>424</v>
      </c>
      <c r="T89" s="455" t="s">
        <v>421</v>
      </c>
      <c r="U89" s="455" t="s">
        <v>351</v>
      </c>
      <c r="V89" s="456"/>
      <c r="W89" s="457"/>
      <c r="X89" s="428"/>
      <c r="Y89" s="429"/>
      <c r="Z89" s="429"/>
      <c r="AA89" s="429"/>
      <c r="AB89" s="429"/>
      <c r="AC89" s="429"/>
      <c r="AD89" s="429"/>
      <c r="AE89" s="429"/>
      <c r="AF89" s="446"/>
      <c r="AG89" s="429"/>
      <c r="AH89" s="429"/>
      <c r="AI89" s="429"/>
      <c r="AJ89" s="458"/>
      <c r="AK89" s="429"/>
      <c r="AL89" s="429"/>
    </row>
    <row r="90" spans="2:44" ht="12.75" customHeight="1">
      <c r="B90" s="738">
        <v>21</v>
      </c>
      <c r="C90" s="710" t="s">
        <v>487</v>
      </c>
      <c r="D90" s="731">
        <v>100</v>
      </c>
      <c r="E90" s="731">
        <v>6</v>
      </c>
      <c r="F90" s="732">
        <v>6500</v>
      </c>
      <c r="G90" s="724"/>
      <c r="H90" s="705">
        <f>$I$5*G90</f>
        <v>0</v>
      </c>
      <c r="I90" s="734">
        <f>IF(G90&lt;&gt;0,G90*$I$5,H90)</f>
        <v>0</v>
      </c>
      <c r="J90" s="707">
        <f>I90*(1+$L$5)</f>
        <v>0</v>
      </c>
      <c r="K90" s="459" t="s">
        <v>205</v>
      </c>
      <c r="L90" s="517"/>
      <c r="M90" s="460">
        <f>L90/60</f>
        <v>0</v>
      </c>
      <c r="N90" s="432">
        <f>'Custo da Mão de Obra '!$E$12*(1-$O$5)</f>
        <v>90.64420454545456</v>
      </c>
      <c r="O90" s="693">
        <f>SUM(M90*N90,M91*N91,M92*N92,M93*N93)</f>
        <v>20.00167613636364</v>
      </c>
      <c r="P90" s="694">
        <v>1</v>
      </c>
      <c r="Q90" s="693">
        <f>P90*O90</f>
        <v>20.00167613636364</v>
      </c>
      <c r="R90" s="695">
        <f>Q90*(1+$R$5)</f>
        <v>25.02809734943182</v>
      </c>
      <c r="S90" s="692">
        <f>I90+Q90</f>
        <v>20.00167613636364</v>
      </c>
      <c r="T90" s="692">
        <f>R90+J90</f>
        <v>25.02809734943182</v>
      </c>
      <c r="U90" s="692">
        <f>T90*(1+$U$5)</f>
        <v>26.892690601964492</v>
      </c>
      <c r="V90" s="735"/>
      <c r="W90" s="729"/>
      <c r="X90" s="737"/>
      <c r="Y90" s="434"/>
      <c r="Z90" s="463"/>
      <c r="AA90" s="434"/>
      <c r="AB90" s="464"/>
      <c r="AC90" s="434"/>
      <c r="AD90" s="434"/>
      <c r="AE90" s="434"/>
      <c r="AF90" s="415"/>
      <c r="AG90" s="465"/>
      <c r="AH90" s="466"/>
      <c r="AI90" s="467"/>
      <c r="AJ90" s="468"/>
      <c r="AK90" s="733"/>
      <c r="AL90" s="736"/>
      <c r="AP90" s="469"/>
      <c r="AQ90" s="442"/>
      <c r="AR90" s="434"/>
    </row>
    <row r="91" spans="2:44" ht="12.75">
      <c r="B91" s="738"/>
      <c r="C91" s="711"/>
      <c r="D91" s="731"/>
      <c r="E91" s="731"/>
      <c r="F91" s="731"/>
      <c r="G91" s="725"/>
      <c r="H91" s="705"/>
      <c r="I91" s="734"/>
      <c r="J91" s="708"/>
      <c r="K91" s="459" t="s">
        <v>184</v>
      </c>
      <c r="L91" s="517"/>
      <c r="M91" s="460">
        <f aca="true" t="shared" si="2" ref="M91:M101">L91/60</f>
        <v>0</v>
      </c>
      <c r="N91" s="432">
        <f>'Custo da Mão de Obra '!$E$13*(1-$O$5)</f>
        <v>48.469204545454545</v>
      </c>
      <c r="O91" s="693"/>
      <c r="P91" s="694"/>
      <c r="Q91" s="693"/>
      <c r="R91" s="696"/>
      <c r="S91" s="692"/>
      <c r="T91" s="698"/>
      <c r="U91" s="692"/>
      <c r="V91" s="735"/>
      <c r="W91" s="729"/>
      <c r="X91" s="737"/>
      <c r="Y91" s="434"/>
      <c r="Z91" s="463"/>
      <c r="AA91" s="434"/>
      <c r="AB91" s="464"/>
      <c r="AC91" s="434"/>
      <c r="AD91" s="465"/>
      <c r="AE91" s="465"/>
      <c r="AF91" s="415"/>
      <c r="AG91" s="465"/>
      <c r="AH91" s="466"/>
      <c r="AI91" s="467"/>
      <c r="AJ91" s="468"/>
      <c r="AK91" s="733"/>
      <c r="AL91" s="736"/>
      <c r="AP91" s="469"/>
      <c r="AQ91" s="442"/>
      <c r="AR91" s="434"/>
    </row>
    <row r="92" spans="2:44" ht="12.75">
      <c r="B92" s="738"/>
      <c r="C92" s="711"/>
      <c r="D92" s="731"/>
      <c r="E92" s="731"/>
      <c r="F92" s="731"/>
      <c r="G92" s="725"/>
      <c r="H92" s="705"/>
      <c r="I92" s="734"/>
      <c r="J92" s="708"/>
      <c r="K92" s="459" t="s">
        <v>217</v>
      </c>
      <c r="L92" s="516">
        <v>30</v>
      </c>
      <c r="M92" s="460">
        <f t="shared" si="2"/>
        <v>0.5</v>
      </c>
      <c r="N92" s="432">
        <f>'Custo da Mão de Obra '!$E$14*(1-$O$5)</f>
        <v>40.00335227272728</v>
      </c>
      <c r="O92" s="693"/>
      <c r="P92" s="694"/>
      <c r="Q92" s="693"/>
      <c r="R92" s="696"/>
      <c r="S92" s="692"/>
      <c r="T92" s="698"/>
      <c r="U92" s="692"/>
      <c r="V92" s="735"/>
      <c r="W92" s="729"/>
      <c r="X92" s="737"/>
      <c r="Y92" s="434"/>
      <c r="Z92" s="463"/>
      <c r="AA92" s="434"/>
      <c r="AB92" s="464"/>
      <c r="AC92" s="434"/>
      <c r="AD92" s="465"/>
      <c r="AE92" s="465"/>
      <c r="AF92" s="415"/>
      <c r="AG92" s="465"/>
      <c r="AH92" s="466"/>
      <c r="AI92" s="467"/>
      <c r="AJ92" s="468"/>
      <c r="AK92" s="733"/>
      <c r="AL92" s="736"/>
      <c r="AP92" s="469"/>
      <c r="AQ92" s="442"/>
      <c r="AR92" s="434"/>
    </row>
    <row r="93" spans="2:44" ht="12.75">
      <c r="B93" s="738"/>
      <c r="C93" s="712"/>
      <c r="D93" s="731"/>
      <c r="E93" s="731"/>
      <c r="F93" s="731"/>
      <c r="G93" s="726"/>
      <c r="H93" s="705"/>
      <c r="I93" s="734"/>
      <c r="J93" s="709"/>
      <c r="K93" s="459" t="s">
        <v>222</v>
      </c>
      <c r="L93" s="517"/>
      <c r="M93" s="460">
        <f t="shared" si="2"/>
        <v>0</v>
      </c>
      <c r="N93" s="432">
        <f>'Custo da Mão de Obra '!$E$15*(1-$O$5)</f>
        <v>19.333522727272726</v>
      </c>
      <c r="O93" s="693"/>
      <c r="P93" s="694"/>
      <c r="Q93" s="693"/>
      <c r="R93" s="697"/>
      <c r="S93" s="692"/>
      <c r="T93" s="698"/>
      <c r="U93" s="692"/>
      <c r="V93" s="735"/>
      <c r="W93" s="729"/>
      <c r="X93" s="737"/>
      <c r="Y93" s="434"/>
      <c r="Z93" s="463"/>
      <c r="AA93" s="434"/>
      <c r="AB93" s="464"/>
      <c r="AC93" s="434"/>
      <c r="AD93" s="465"/>
      <c r="AE93" s="465"/>
      <c r="AF93" s="415"/>
      <c r="AG93" s="465"/>
      <c r="AH93" s="466"/>
      <c r="AI93" s="467"/>
      <c r="AJ93" s="468"/>
      <c r="AK93" s="733"/>
      <c r="AL93" s="736"/>
      <c r="AP93" s="469"/>
      <c r="AQ93" s="442"/>
      <c r="AR93" s="434"/>
    </row>
    <row r="94" spans="2:44" ht="15" customHeight="1">
      <c r="B94" s="738">
        <v>22</v>
      </c>
      <c r="C94" s="710" t="s">
        <v>488</v>
      </c>
      <c r="D94" s="731">
        <v>240</v>
      </c>
      <c r="E94" s="731">
        <v>6</v>
      </c>
      <c r="F94" s="732">
        <v>6500</v>
      </c>
      <c r="G94" s="724"/>
      <c r="H94" s="705">
        <f>$I$5*G94</f>
        <v>0</v>
      </c>
      <c r="I94" s="734">
        <f>IF(G94&lt;&gt;0,G94*$I$5,H94)</f>
        <v>0</v>
      </c>
      <c r="J94" s="707">
        <f>I94*(1+$L$5)</f>
        <v>0</v>
      </c>
      <c r="K94" s="459" t="s">
        <v>205</v>
      </c>
      <c r="L94" s="517"/>
      <c r="M94" s="460">
        <f t="shared" si="2"/>
        <v>0</v>
      </c>
      <c r="N94" s="432">
        <f>'Custo da Mão de Obra '!$E$12*(1-$O$5)</f>
        <v>90.64420454545456</v>
      </c>
      <c r="O94" s="693">
        <f>SUM(M94*N94,M95*N95,M96*N96,M97*N97)</f>
        <v>20.00167613636364</v>
      </c>
      <c r="P94" s="694">
        <v>1</v>
      </c>
      <c r="Q94" s="693">
        <f>P94*O94</f>
        <v>20.00167613636364</v>
      </c>
      <c r="R94" s="695">
        <f>Q94*(1+$R$5)</f>
        <v>25.02809734943182</v>
      </c>
      <c r="S94" s="692">
        <f>I94+Q94</f>
        <v>20.00167613636364</v>
      </c>
      <c r="T94" s="692">
        <f>R94+J94</f>
        <v>25.02809734943182</v>
      </c>
      <c r="U94" s="692">
        <f>T94*(1+$U$5)</f>
        <v>26.892690601964492</v>
      </c>
      <c r="V94" s="461"/>
      <c r="W94" s="462"/>
      <c r="X94" s="470"/>
      <c r="Y94" s="434"/>
      <c r="Z94" s="463"/>
      <c r="AA94" s="434"/>
      <c r="AB94" s="464"/>
      <c r="AC94" s="434"/>
      <c r="AD94" s="465"/>
      <c r="AE94" s="465"/>
      <c r="AF94" s="415"/>
      <c r="AG94" s="465"/>
      <c r="AH94" s="466"/>
      <c r="AI94" s="467"/>
      <c r="AJ94" s="468"/>
      <c r="AK94" s="471"/>
      <c r="AL94" s="472"/>
      <c r="AP94" s="469"/>
      <c r="AQ94" s="442"/>
      <c r="AR94" s="434"/>
    </row>
    <row r="95" spans="2:44" ht="15">
      <c r="B95" s="738"/>
      <c r="C95" s="711"/>
      <c r="D95" s="731"/>
      <c r="E95" s="731"/>
      <c r="F95" s="731"/>
      <c r="G95" s="725"/>
      <c r="H95" s="705"/>
      <c r="I95" s="734"/>
      <c r="J95" s="708"/>
      <c r="K95" s="459" t="s">
        <v>184</v>
      </c>
      <c r="L95" s="517"/>
      <c r="M95" s="460">
        <f t="shared" si="2"/>
        <v>0</v>
      </c>
      <c r="N95" s="432">
        <f>'Custo da Mão de Obra '!$E$13*(1-$O$5)</f>
        <v>48.469204545454545</v>
      </c>
      <c r="O95" s="693"/>
      <c r="P95" s="694"/>
      <c r="Q95" s="693"/>
      <c r="R95" s="696"/>
      <c r="S95" s="692"/>
      <c r="T95" s="698"/>
      <c r="U95" s="692"/>
      <c r="V95" s="461"/>
      <c r="W95" s="462"/>
      <c r="X95" s="470"/>
      <c r="Y95" s="434"/>
      <c r="Z95" s="463"/>
      <c r="AA95" s="434"/>
      <c r="AB95" s="464"/>
      <c r="AC95" s="434"/>
      <c r="AD95" s="465"/>
      <c r="AE95" s="465"/>
      <c r="AF95" s="415"/>
      <c r="AG95" s="465"/>
      <c r="AH95" s="466"/>
      <c r="AI95" s="467"/>
      <c r="AJ95" s="468"/>
      <c r="AK95" s="471"/>
      <c r="AL95" s="472"/>
      <c r="AP95" s="469"/>
      <c r="AQ95" s="442"/>
      <c r="AR95" s="434"/>
    </row>
    <row r="96" spans="2:44" ht="15">
      <c r="B96" s="738"/>
      <c r="C96" s="711"/>
      <c r="D96" s="731"/>
      <c r="E96" s="731"/>
      <c r="F96" s="731"/>
      <c r="G96" s="725"/>
      <c r="H96" s="705"/>
      <c r="I96" s="734"/>
      <c r="J96" s="708"/>
      <c r="K96" s="459" t="s">
        <v>217</v>
      </c>
      <c r="L96" s="516">
        <v>30</v>
      </c>
      <c r="M96" s="460">
        <f t="shared" si="2"/>
        <v>0.5</v>
      </c>
      <c r="N96" s="432">
        <f>'Custo da Mão de Obra '!$E$14*(1-$O$5)</f>
        <v>40.00335227272728</v>
      </c>
      <c r="O96" s="693"/>
      <c r="P96" s="694"/>
      <c r="Q96" s="693"/>
      <c r="R96" s="696"/>
      <c r="S96" s="692"/>
      <c r="T96" s="698"/>
      <c r="U96" s="692"/>
      <c r="V96" s="461"/>
      <c r="W96" s="462"/>
      <c r="X96" s="470"/>
      <c r="Y96" s="434"/>
      <c r="Z96" s="463"/>
      <c r="AA96" s="434"/>
      <c r="AB96" s="464"/>
      <c r="AC96" s="434"/>
      <c r="AD96" s="465"/>
      <c r="AE96" s="465"/>
      <c r="AF96" s="415"/>
      <c r="AG96" s="465"/>
      <c r="AH96" s="466"/>
      <c r="AI96" s="467"/>
      <c r="AJ96" s="468"/>
      <c r="AK96" s="471"/>
      <c r="AL96" s="472"/>
      <c r="AP96" s="469"/>
      <c r="AQ96" s="442"/>
      <c r="AR96" s="434"/>
    </row>
    <row r="97" spans="2:44" ht="15">
      <c r="B97" s="738"/>
      <c r="C97" s="712"/>
      <c r="D97" s="731"/>
      <c r="E97" s="731"/>
      <c r="F97" s="731"/>
      <c r="G97" s="726"/>
      <c r="H97" s="705"/>
      <c r="I97" s="734"/>
      <c r="J97" s="709"/>
      <c r="K97" s="459" t="s">
        <v>222</v>
      </c>
      <c r="L97" s="517"/>
      <c r="M97" s="460">
        <f t="shared" si="2"/>
        <v>0</v>
      </c>
      <c r="N97" s="432">
        <f>'Custo da Mão de Obra '!$E$15*(1-$O$5)</f>
        <v>19.333522727272726</v>
      </c>
      <c r="O97" s="693"/>
      <c r="P97" s="694"/>
      <c r="Q97" s="693"/>
      <c r="R97" s="697"/>
      <c r="S97" s="692"/>
      <c r="T97" s="698"/>
      <c r="U97" s="692"/>
      <c r="V97" s="461"/>
      <c r="W97" s="462"/>
      <c r="X97" s="470"/>
      <c r="Y97" s="434"/>
      <c r="Z97" s="463"/>
      <c r="AA97" s="434"/>
      <c r="AB97" s="464"/>
      <c r="AC97" s="434"/>
      <c r="AD97" s="465"/>
      <c r="AE97" s="465"/>
      <c r="AF97" s="415"/>
      <c r="AG97" s="465"/>
      <c r="AH97" s="466"/>
      <c r="AI97" s="467"/>
      <c r="AJ97" s="468"/>
      <c r="AK97" s="471"/>
      <c r="AL97" s="472"/>
      <c r="AP97" s="469"/>
      <c r="AQ97" s="442"/>
      <c r="AR97" s="434"/>
    </row>
    <row r="98" spans="2:44" ht="15" customHeight="1">
      <c r="B98" s="738">
        <v>23</v>
      </c>
      <c r="C98" s="710" t="s">
        <v>489</v>
      </c>
      <c r="D98" s="731">
        <v>100</v>
      </c>
      <c r="E98" s="731">
        <v>6</v>
      </c>
      <c r="F98" s="732">
        <v>6500</v>
      </c>
      <c r="G98" s="724"/>
      <c r="H98" s="705">
        <f>$I$5*G98</f>
        <v>0</v>
      </c>
      <c r="I98" s="734">
        <f>IF(G98&lt;&gt;0,G98*$I$5,H98)</f>
        <v>0</v>
      </c>
      <c r="J98" s="707">
        <f>I98*(1+$L$5)</f>
        <v>0</v>
      </c>
      <c r="K98" s="459" t="s">
        <v>205</v>
      </c>
      <c r="L98" s="517"/>
      <c r="M98" s="460">
        <f t="shared" si="2"/>
        <v>0</v>
      </c>
      <c r="N98" s="432">
        <f>'Custo da Mão de Obra '!$E$12*(1-$O$5)</f>
        <v>90.64420454545456</v>
      </c>
      <c r="O98" s="693">
        <f>SUM(M98*N98,M99*N99,M100*N100,M101*N101)</f>
        <v>20.00167613636364</v>
      </c>
      <c r="P98" s="694">
        <v>1</v>
      </c>
      <c r="Q98" s="693">
        <f>P98*O98</f>
        <v>20.00167613636364</v>
      </c>
      <c r="R98" s="695">
        <f>Q98*(1+$R$5)</f>
        <v>25.02809734943182</v>
      </c>
      <c r="S98" s="692">
        <f>I98+Q98</f>
        <v>20.00167613636364</v>
      </c>
      <c r="T98" s="692">
        <f>R98+J98</f>
        <v>25.02809734943182</v>
      </c>
      <c r="U98" s="692">
        <f>T98*(1+$U$5)</f>
        <v>26.892690601964492</v>
      </c>
      <c r="V98" s="461"/>
      <c r="W98" s="462"/>
      <c r="X98" s="470"/>
      <c r="Y98" s="434"/>
      <c r="Z98" s="463"/>
      <c r="AA98" s="434"/>
      <c r="AB98" s="464"/>
      <c r="AC98" s="434"/>
      <c r="AD98" s="465"/>
      <c r="AE98" s="465"/>
      <c r="AF98" s="415"/>
      <c r="AG98" s="465"/>
      <c r="AH98" s="466"/>
      <c r="AI98" s="467"/>
      <c r="AJ98" s="468"/>
      <c r="AK98" s="471"/>
      <c r="AL98" s="472"/>
      <c r="AP98" s="469"/>
      <c r="AQ98" s="442"/>
      <c r="AR98" s="434"/>
    </row>
    <row r="99" spans="2:44" ht="15">
      <c r="B99" s="738"/>
      <c r="C99" s="711"/>
      <c r="D99" s="731"/>
      <c r="E99" s="731"/>
      <c r="F99" s="731"/>
      <c r="G99" s="725"/>
      <c r="H99" s="705"/>
      <c r="I99" s="734"/>
      <c r="J99" s="708"/>
      <c r="K99" s="459" t="s">
        <v>184</v>
      </c>
      <c r="L99" s="517"/>
      <c r="M99" s="460">
        <f t="shared" si="2"/>
        <v>0</v>
      </c>
      <c r="N99" s="432">
        <f>'Custo da Mão de Obra '!$E$13*(1-$O$5)</f>
        <v>48.469204545454545</v>
      </c>
      <c r="O99" s="693"/>
      <c r="P99" s="694"/>
      <c r="Q99" s="693"/>
      <c r="R99" s="696"/>
      <c r="S99" s="692"/>
      <c r="T99" s="698"/>
      <c r="U99" s="692"/>
      <c r="V99" s="461"/>
      <c r="W99" s="462"/>
      <c r="X99" s="470"/>
      <c r="Y99" s="434"/>
      <c r="Z99" s="463"/>
      <c r="AA99" s="434"/>
      <c r="AB99" s="464"/>
      <c r="AC99" s="434"/>
      <c r="AD99" s="465"/>
      <c r="AE99" s="465"/>
      <c r="AF99" s="415"/>
      <c r="AG99" s="465"/>
      <c r="AH99" s="466"/>
      <c r="AI99" s="467"/>
      <c r="AJ99" s="468"/>
      <c r="AK99" s="471"/>
      <c r="AL99" s="472"/>
      <c r="AP99" s="469"/>
      <c r="AQ99" s="442"/>
      <c r="AR99" s="434"/>
    </row>
    <row r="100" spans="2:44" ht="15">
      <c r="B100" s="738"/>
      <c r="C100" s="711"/>
      <c r="D100" s="731"/>
      <c r="E100" s="731"/>
      <c r="F100" s="731"/>
      <c r="G100" s="725"/>
      <c r="H100" s="705"/>
      <c r="I100" s="734"/>
      <c r="J100" s="708"/>
      <c r="K100" s="459" t="s">
        <v>217</v>
      </c>
      <c r="L100" s="516">
        <v>30</v>
      </c>
      <c r="M100" s="460">
        <f t="shared" si="2"/>
        <v>0.5</v>
      </c>
      <c r="N100" s="432">
        <f>'Custo da Mão de Obra '!$E$14*(1-$O$5)</f>
        <v>40.00335227272728</v>
      </c>
      <c r="O100" s="693"/>
      <c r="P100" s="694"/>
      <c r="Q100" s="693"/>
      <c r="R100" s="696"/>
      <c r="S100" s="692"/>
      <c r="T100" s="698"/>
      <c r="U100" s="692"/>
      <c r="V100" s="461"/>
      <c r="W100" s="462"/>
      <c r="X100" s="470"/>
      <c r="Y100" s="434"/>
      <c r="Z100" s="463"/>
      <c r="AA100" s="434"/>
      <c r="AB100" s="464"/>
      <c r="AC100" s="434"/>
      <c r="AD100" s="465"/>
      <c r="AE100" s="465"/>
      <c r="AF100" s="415"/>
      <c r="AG100" s="465"/>
      <c r="AH100" s="466"/>
      <c r="AI100" s="467"/>
      <c r="AJ100" s="468"/>
      <c r="AK100" s="471"/>
      <c r="AL100" s="472"/>
      <c r="AP100" s="469"/>
      <c r="AQ100" s="442"/>
      <c r="AR100" s="434"/>
    </row>
    <row r="101" spans="2:44" ht="15">
      <c r="B101" s="738"/>
      <c r="C101" s="712"/>
      <c r="D101" s="731"/>
      <c r="E101" s="731"/>
      <c r="F101" s="731"/>
      <c r="G101" s="726"/>
      <c r="H101" s="705"/>
      <c r="I101" s="734"/>
      <c r="J101" s="709"/>
      <c r="K101" s="459" t="s">
        <v>222</v>
      </c>
      <c r="L101" s="517"/>
      <c r="M101" s="460">
        <f t="shared" si="2"/>
        <v>0</v>
      </c>
      <c r="N101" s="432">
        <f>'Custo da Mão de Obra '!$E$15*(1-$O$5)</f>
        <v>19.333522727272726</v>
      </c>
      <c r="O101" s="693"/>
      <c r="P101" s="694"/>
      <c r="Q101" s="693"/>
      <c r="R101" s="697"/>
      <c r="S101" s="692"/>
      <c r="T101" s="698"/>
      <c r="U101" s="692"/>
      <c r="V101" s="461"/>
      <c r="W101" s="462"/>
      <c r="X101" s="470"/>
      <c r="Y101" s="434"/>
      <c r="Z101" s="463"/>
      <c r="AA101" s="434"/>
      <c r="AB101" s="464"/>
      <c r="AC101" s="434"/>
      <c r="AD101" s="465"/>
      <c r="AE101" s="465"/>
      <c r="AF101" s="415"/>
      <c r="AG101" s="465"/>
      <c r="AH101" s="466"/>
      <c r="AI101" s="467"/>
      <c r="AJ101" s="468"/>
      <c r="AK101" s="471"/>
      <c r="AL101" s="472"/>
      <c r="AP101" s="469"/>
      <c r="AQ101" s="442"/>
      <c r="AR101" s="434"/>
    </row>
    <row r="102" spans="9:11" ht="12.75" customHeight="1">
      <c r="I102" s="302"/>
      <c r="J102" s="302"/>
      <c r="K102" s="302"/>
    </row>
    <row r="103" spans="2:32" ht="58.5" customHeight="1">
      <c r="B103" s="418" t="s">
        <v>154</v>
      </c>
      <c r="C103" s="418" t="s">
        <v>490</v>
      </c>
      <c r="D103" s="422" t="s">
        <v>224</v>
      </c>
      <c r="E103" s="422" t="s">
        <v>225</v>
      </c>
      <c r="F103" s="423" t="s">
        <v>232</v>
      </c>
      <c r="G103" s="423" t="s">
        <v>419</v>
      </c>
      <c r="H103" s="473" t="s">
        <v>181</v>
      </c>
      <c r="I103" s="454" t="s">
        <v>223</v>
      </c>
      <c r="J103" s="454" t="s">
        <v>221</v>
      </c>
      <c r="K103" s="474" t="s">
        <v>226</v>
      </c>
      <c r="L103" s="454" t="s">
        <v>229</v>
      </c>
      <c r="M103" s="475" t="s">
        <v>253</v>
      </c>
      <c r="N103" s="475" t="s">
        <v>231</v>
      </c>
      <c r="O103" s="454" t="s">
        <v>420</v>
      </c>
      <c r="P103" s="455" t="s">
        <v>424</v>
      </c>
      <c r="Q103" s="455" t="s">
        <v>277</v>
      </c>
      <c r="R103" s="455" t="s">
        <v>435</v>
      </c>
      <c r="Z103" s="415"/>
      <c r="AA103" s="415"/>
      <c r="AB103" s="415"/>
      <c r="AC103" s="407"/>
      <c r="AD103" s="407"/>
      <c r="AE103" s="458"/>
      <c r="AF103" s="415"/>
    </row>
    <row r="104" spans="2:34" s="478" customFormat="1" ht="12.75">
      <c r="B104" s="699">
        <v>24</v>
      </c>
      <c r="C104" s="700" t="s">
        <v>437</v>
      </c>
      <c r="D104" s="749"/>
      <c r="E104" s="705">
        <f>$I$5*D104</f>
        <v>0</v>
      </c>
      <c r="F104" s="706">
        <f>IF(D104&lt;&gt;0,D104*$I$5,E104)</f>
        <v>0</v>
      </c>
      <c r="G104" s="707">
        <f>F104*(1+$L$5)</f>
        <v>0</v>
      </c>
      <c r="H104" s="476" t="s">
        <v>205</v>
      </c>
      <c r="I104" s="518"/>
      <c r="J104" s="477">
        <f>I104/60</f>
        <v>0</v>
      </c>
      <c r="K104" s="432">
        <f>'Custo da Mão de Obra '!$E$12*(1-$O$5)</f>
        <v>90.64420454545456</v>
      </c>
      <c r="L104" s="693">
        <f>SUM(J104*K104,J105*K105,J106*K106,J107*K107)</f>
        <v>32.31280303030303</v>
      </c>
      <c r="M104" s="694">
        <v>1</v>
      </c>
      <c r="N104" s="693">
        <f>M104*L104</f>
        <v>32.31280303030303</v>
      </c>
      <c r="O104" s="695">
        <f>N104*(1+$R$5)</f>
        <v>40.43301043181818</v>
      </c>
      <c r="P104" s="692">
        <f>F104+N104</f>
        <v>32.31280303030303</v>
      </c>
      <c r="Q104" s="692">
        <f>O104+G104</f>
        <v>40.43301043181818</v>
      </c>
      <c r="R104" s="692">
        <f>Q104*(1+$U$5)</f>
        <v>43.44526970898864</v>
      </c>
      <c r="T104" s="479"/>
      <c r="U104" s="480"/>
      <c r="V104" s="481"/>
      <c r="W104" s="482"/>
      <c r="X104" s="483"/>
      <c r="Y104" s="484"/>
      <c r="Z104" s="479"/>
      <c r="AA104" s="479"/>
      <c r="AB104" s="485"/>
      <c r="AC104" s="485"/>
      <c r="AD104" s="485"/>
      <c r="AE104" s="481"/>
      <c r="AF104" s="481"/>
      <c r="AG104" s="481"/>
      <c r="AH104" s="479"/>
    </row>
    <row r="105" spans="2:34" s="478" customFormat="1" ht="12.75">
      <c r="B105" s="699"/>
      <c r="C105" s="700"/>
      <c r="D105" s="749"/>
      <c r="E105" s="705"/>
      <c r="F105" s="706"/>
      <c r="G105" s="708"/>
      <c r="H105" s="476" t="s">
        <v>184</v>
      </c>
      <c r="I105" s="518">
        <v>40</v>
      </c>
      <c r="J105" s="477">
        <f aca="true" t="shared" si="3" ref="J105:J168">I105/60</f>
        <v>0.6666666666666666</v>
      </c>
      <c r="K105" s="432">
        <f>'Custo da Mão de Obra '!$E$13*(1-$O$5)</f>
        <v>48.469204545454545</v>
      </c>
      <c r="L105" s="693"/>
      <c r="M105" s="694"/>
      <c r="N105" s="693"/>
      <c r="O105" s="696"/>
      <c r="P105" s="692"/>
      <c r="Q105" s="698"/>
      <c r="R105" s="692"/>
      <c r="T105" s="479"/>
      <c r="U105" s="480"/>
      <c r="V105" s="481"/>
      <c r="W105" s="482"/>
      <c r="X105" s="483"/>
      <c r="Y105" s="484"/>
      <c r="Z105" s="479"/>
      <c r="AA105" s="479"/>
      <c r="AB105" s="485"/>
      <c r="AC105" s="485"/>
      <c r="AD105" s="485"/>
      <c r="AE105" s="481"/>
      <c r="AF105" s="481"/>
      <c r="AG105" s="481"/>
      <c r="AH105" s="479"/>
    </row>
    <row r="106" spans="2:34" s="478" customFormat="1" ht="12.75">
      <c r="B106" s="699"/>
      <c r="C106" s="700"/>
      <c r="D106" s="749"/>
      <c r="E106" s="705"/>
      <c r="F106" s="706"/>
      <c r="G106" s="708"/>
      <c r="H106" s="476" t="s">
        <v>217</v>
      </c>
      <c r="I106" s="518"/>
      <c r="J106" s="477">
        <f t="shared" si="3"/>
        <v>0</v>
      </c>
      <c r="K106" s="432">
        <f>'Custo da Mão de Obra '!$E$14*(1-$O$5)</f>
        <v>40.00335227272728</v>
      </c>
      <c r="L106" s="693"/>
      <c r="M106" s="694"/>
      <c r="N106" s="693"/>
      <c r="O106" s="696"/>
      <c r="P106" s="692"/>
      <c r="Q106" s="698"/>
      <c r="R106" s="692"/>
      <c r="T106" s="479"/>
      <c r="U106" s="480"/>
      <c r="V106" s="481"/>
      <c r="W106" s="482"/>
      <c r="X106" s="483"/>
      <c r="Y106" s="484"/>
      <c r="Z106" s="479"/>
      <c r="AA106" s="479"/>
      <c r="AB106" s="485"/>
      <c r="AC106" s="485"/>
      <c r="AD106" s="485"/>
      <c r="AE106" s="481"/>
      <c r="AF106" s="481"/>
      <c r="AG106" s="481"/>
      <c r="AH106" s="479"/>
    </row>
    <row r="107" spans="2:34" s="478" customFormat="1" ht="12.75">
      <c r="B107" s="699"/>
      <c r="C107" s="700"/>
      <c r="D107" s="749"/>
      <c r="E107" s="705"/>
      <c r="F107" s="706"/>
      <c r="G107" s="709"/>
      <c r="H107" s="476" t="s">
        <v>222</v>
      </c>
      <c r="I107" s="518"/>
      <c r="J107" s="477">
        <f t="shared" si="3"/>
        <v>0</v>
      </c>
      <c r="K107" s="432">
        <f>'Custo da Mão de Obra '!$E$15*(1-$O$5)</f>
        <v>19.333522727272726</v>
      </c>
      <c r="L107" s="693"/>
      <c r="M107" s="694"/>
      <c r="N107" s="693"/>
      <c r="O107" s="697"/>
      <c r="P107" s="692"/>
      <c r="Q107" s="698"/>
      <c r="R107" s="692"/>
      <c r="T107" s="479"/>
      <c r="U107" s="480"/>
      <c r="V107" s="481"/>
      <c r="W107" s="482"/>
      <c r="X107" s="483"/>
      <c r="Y107" s="484"/>
      <c r="Z107" s="479"/>
      <c r="AA107" s="479"/>
      <c r="AB107" s="485"/>
      <c r="AC107" s="485"/>
      <c r="AD107" s="485"/>
      <c r="AE107" s="481"/>
      <c r="AF107" s="481"/>
      <c r="AG107" s="481"/>
      <c r="AH107" s="479"/>
    </row>
    <row r="108" spans="2:34" s="478" customFormat="1" ht="12.75">
      <c r="B108" s="699">
        <v>25</v>
      </c>
      <c r="C108" s="700" t="s">
        <v>455</v>
      </c>
      <c r="D108" s="749"/>
      <c r="E108" s="705">
        <f>$I$5*D108</f>
        <v>0</v>
      </c>
      <c r="F108" s="706">
        <f>IF(D108&lt;&gt;0,D108*$I$5,E108)</f>
        <v>0</v>
      </c>
      <c r="G108" s="707">
        <f>F108*(1+$L$5)</f>
        <v>0</v>
      </c>
      <c r="H108" s="476" t="s">
        <v>205</v>
      </c>
      <c r="I108" s="518"/>
      <c r="J108" s="477">
        <f t="shared" si="3"/>
        <v>0</v>
      </c>
      <c r="K108" s="432">
        <f>'Custo da Mão de Obra '!$E$12*(1-$O$5)</f>
        <v>90.64420454545456</v>
      </c>
      <c r="L108" s="693">
        <f>SUM(J108*K108,J109*K109,J110*K110,J111*K111)</f>
        <v>32.31280303030303</v>
      </c>
      <c r="M108" s="694">
        <v>1</v>
      </c>
      <c r="N108" s="693">
        <f>M108*L108</f>
        <v>32.31280303030303</v>
      </c>
      <c r="O108" s="695">
        <f>N108*(1+$R$5)</f>
        <v>40.43301043181818</v>
      </c>
      <c r="P108" s="692">
        <f>F108+N108</f>
        <v>32.31280303030303</v>
      </c>
      <c r="Q108" s="692">
        <f>O108+G108</f>
        <v>40.43301043181818</v>
      </c>
      <c r="R108" s="692">
        <f>Q108*(1+$U$5)</f>
        <v>43.44526970898864</v>
      </c>
      <c r="T108" s="479"/>
      <c r="U108" s="480"/>
      <c r="V108" s="481"/>
      <c r="W108" s="482"/>
      <c r="X108" s="483"/>
      <c r="Y108" s="484"/>
      <c r="Z108" s="479"/>
      <c r="AA108" s="479"/>
      <c r="AB108" s="485"/>
      <c r="AC108" s="485"/>
      <c r="AD108" s="485"/>
      <c r="AE108" s="481"/>
      <c r="AF108" s="481"/>
      <c r="AG108" s="481"/>
      <c r="AH108" s="479"/>
    </row>
    <row r="109" spans="2:34" s="478" customFormat="1" ht="12.75">
      <c r="B109" s="699"/>
      <c r="C109" s="700"/>
      <c r="D109" s="749"/>
      <c r="E109" s="705"/>
      <c r="F109" s="706"/>
      <c r="G109" s="708"/>
      <c r="H109" s="476" t="s">
        <v>184</v>
      </c>
      <c r="I109" s="518">
        <v>40</v>
      </c>
      <c r="J109" s="477">
        <f t="shared" si="3"/>
        <v>0.6666666666666666</v>
      </c>
      <c r="K109" s="432">
        <f>'Custo da Mão de Obra '!$E$13*(1-$O$5)</f>
        <v>48.469204545454545</v>
      </c>
      <c r="L109" s="693"/>
      <c r="M109" s="694"/>
      <c r="N109" s="693"/>
      <c r="O109" s="696"/>
      <c r="P109" s="692"/>
      <c r="Q109" s="698"/>
      <c r="R109" s="692"/>
      <c r="T109" s="479"/>
      <c r="U109" s="480"/>
      <c r="V109" s="481"/>
      <c r="W109" s="482"/>
      <c r="X109" s="483"/>
      <c r="Y109" s="484"/>
      <c r="Z109" s="479"/>
      <c r="AA109" s="479"/>
      <c r="AB109" s="485"/>
      <c r="AC109" s="485"/>
      <c r="AD109" s="485"/>
      <c r="AE109" s="481"/>
      <c r="AF109" s="481"/>
      <c r="AG109" s="481"/>
      <c r="AH109" s="479"/>
    </row>
    <row r="110" spans="2:34" s="478" customFormat="1" ht="12.75">
      <c r="B110" s="699"/>
      <c r="C110" s="700"/>
      <c r="D110" s="749"/>
      <c r="E110" s="705"/>
      <c r="F110" s="706"/>
      <c r="G110" s="708"/>
      <c r="H110" s="476" t="s">
        <v>217</v>
      </c>
      <c r="I110" s="518"/>
      <c r="J110" s="477">
        <f t="shared" si="3"/>
        <v>0</v>
      </c>
      <c r="K110" s="432">
        <f>'Custo da Mão de Obra '!$E$14*(1-$O$5)</f>
        <v>40.00335227272728</v>
      </c>
      <c r="L110" s="693"/>
      <c r="M110" s="694"/>
      <c r="N110" s="693"/>
      <c r="O110" s="696"/>
      <c r="P110" s="692"/>
      <c r="Q110" s="698"/>
      <c r="R110" s="692"/>
      <c r="T110" s="479"/>
      <c r="U110" s="480"/>
      <c r="V110" s="481"/>
      <c r="W110" s="482"/>
      <c r="X110" s="483"/>
      <c r="Y110" s="484"/>
      <c r="Z110" s="479"/>
      <c r="AA110" s="479"/>
      <c r="AB110" s="485"/>
      <c r="AC110" s="485"/>
      <c r="AD110" s="485"/>
      <c r="AE110" s="481"/>
      <c r="AF110" s="481"/>
      <c r="AG110" s="481"/>
      <c r="AH110" s="479"/>
    </row>
    <row r="111" spans="2:34" s="478" customFormat="1" ht="12.75">
      <c r="B111" s="699"/>
      <c r="C111" s="700"/>
      <c r="D111" s="749"/>
      <c r="E111" s="705"/>
      <c r="F111" s="706"/>
      <c r="G111" s="709"/>
      <c r="H111" s="476" t="s">
        <v>222</v>
      </c>
      <c r="I111" s="518"/>
      <c r="J111" s="477">
        <f t="shared" si="3"/>
        <v>0</v>
      </c>
      <c r="K111" s="432">
        <f>'Custo da Mão de Obra '!$E$15*(1-$O$5)</f>
        <v>19.333522727272726</v>
      </c>
      <c r="L111" s="693"/>
      <c r="M111" s="694"/>
      <c r="N111" s="693"/>
      <c r="O111" s="697"/>
      <c r="P111" s="692"/>
      <c r="Q111" s="698"/>
      <c r="R111" s="692"/>
      <c r="T111" s="479"/>
      <c r="U111" s="480"/>
      <c r="V111" s="481"/>
      <c r="W111" s="482"/>
      <c r="X111" s="483"/>
      <c r="Y111" s="484"/>
      <c r="Z111" s="479"/>
      <c r="AA111" s="479"/>
      <c r="AB111" s="485"/>
      <c r="AC111" s="485"/>
      <c r="AD111" s="485"/>
      <c r="AE111" s="481"/>
      <c r="AF111" s="481"/>
      <c r="AG111" s="481"/>
      <c r="AH111" s="479"/>
    </row>
    <row r="112" spans="2:34" s="478" customFormat="1" ht="12.75">
      <c r="B112" s="739">
        <v>26</v>
      </c>
      <c r="C112" s="710" t="s">
        <v>450</v>
      </c>
      <c r="D112" s="742"/>
      <c r="E112" s="705">
        <f>$I$5*D112</f>
        <v>0</v>
      </c>
      <c r="F112" s="706">
        <f>IF(D112&lt;&gt;0,D112*$I$5,E112)</f>
        <v>0</v>
      </c>
      <c r="G112" s="707">
        <f>F112*(1+$L$5)</f>
        <v>0</v>
      </c>
      <c r="H112" s="476" t="s">
        <v>205</v>
      </c>
      <c r="I112" s="518"/>
      <c r="J112" s="477">
        <f t="shared" si="3"/>
        <v>0</v>
      </c>
      <c r="K112" s="432">
        <f>'Custo da Mão de Obra '!$E$12*(1-$O$5)</f>
        <v>90.64420454545456</v>
      </c>
      <c r="L112" s="693">
        <f>SUM(J112*K112,J113*K113,J114*K114,J115*K115)</f>
        <v>32.31280303030303</v>
      </c>
      <c r="M112" s="694">
        <v>1</v>
      </c>
      <c r="N112" s="693">
        <f>M112*L112</f>
        <v>32.31280303030303</v>
      </c>
      <c r="O112" s="695">
        <f>N112*(1+$R$5)</f>
        <v>40.43301043181818</v>
      </c>
      <c r="P112" s="692">
        <f>F112+N112</f>
        <v>32.31280303030303</v>
      </c>
      <c r="Q112" s="692">
        <f>O112+G112</f>
        <v>40.43301043181818</v>
      </c>
      <c r="R112" s="692">
        <f>Q112*(1+$U$5)</f>
        <v>43.44526970898864</v>
      </c>
      <c r="T112" s="479"/>
      <c r="U112" s="480"/>
      <c r="V112" s="481"/>
      <c r="W112" s="482"/>
      <c r="X112" s="483"/>
      <c r="Y112" s="484"/>
      <c r="Z112" s="479"/>
      <c r="AA112" s="479"/>
      <c r="AB112" s="485"/>
      <c r="AC112" s="485"/>
      <c r="AD112" s="485"/>
      <c r="AE112" s="481"/>
      <c r="AF112" s="481"/>
      <c r="AG112" s="481"/>
      <c r="AH112" s="479"/>
    </row>
    <row r="113" spans="2:34" s="478" customFormat="1" ht="12.75">
      <c r="B113" s="740"/>
      <c r="C113" s="711"/>
      <c r="D113" s="743"/>
      <c r="E113" s="705"/>
      <c r="F113" s="706"/>
      <c r="G113" s="708"/>
      <c r="H113" s="476" t="s">
        <v>184</v>
      </c>
      <c r="I113" s="518">
        <v>40</v>
      </c>
      <c r="J113" s="477">
        <f t="shared" si="3"/>
        <v>0.6666666666666666</v>
      </c>
      <c r="K113" s="432">
        <f>'Custo da Mão de Obra '!$E$13*(1-$O$5)</f>
        <v>48.469204545454545</v>
      </c>
      <c r="L113" s="693"/>
      <c r="M113" s="694"/>
      <c r="N113" s="693"/>
      <c r="O113" s="696"/>
      <c r="P113" s="692"/>
      <c r="Q113" s="698"/>
      <c r="R113" s="692"/>
      <c r="T113" s="479"/>
      <c r="U113" s="480"/>
      <c r="V113" s="481"/>
      <c r="W113" s="482"/>
      <c r="X113" s="483"/>
      <c r="Y113" s="484"/>
      <c r="Z113" s="479"/>
      <c r="AA113" s="479"/>
      <c r="AB113" s="485"/>
      <c r="AC113" s="485"/>
      <c r="AD113" s="485"/>
      <c r="AE113" s="481"/>
      <c r="AF113" s="481"/>
      <c r="AG113" s="481"/>
      <c r="AH113" s="479"/>
    </row>
    <row r="114" spans="2:34" s="478" customFormat="1" ht="12.75">
      <c r="B114" s="740"/>
      <c r="C114" s="711"/>
      <c r="D114" s="743"/>
      <c r="E114" s="705"/>
      <c r="F114" s="706"/>
      <c r="G114" s="708"/>
      <c r="H114" s="476" t="s">
        <v>217</v>
      </c>
      <c r="I114" s="518"/>
      <c r="J114" s="477">
        <f t="shared" si="3"/>
        <v>0</v>
      </c>
      <c r="K114" s="432">
        <f>'Custo da Mão de Obra '!$E$14*(1-$O$5)</f>
        <v>40.00335227272728</v>
      </c>
      <c r="L114" s="693"/>
      <c r="M114" s="694"/>
      <c r="N114" s="693"/>
      <c r="O114" s="696"/>
      <c r="P114" s="692"/>
      <c r="Q114" s="698"/>
      <c r="R114" s="692"/>
      <c r="T114" s="479"/>
      <c r="U114" s="480"/>
      <c r="V114" s="481"/>
      <c r="W114" s="482"/>
      <c r="X114" s="483"/>
      <c r="Y114" s="484"/>
      <c r="Z114" s="479"/>
      <c r="AA114" s="479"/>
      <c r="AB114" s="485"/>
      <c r="AC114" s="485"/>
      <c r="AD114" s="485"/>
      <c r="AE114" s="481"/>
      <c r="AF114" s="481"/>
      <c r="AG114" s="481"/>
      <c r="AH114" s="479"/>
    </row>
    <row r="115" spans="2:34" s="478" customFormat="1" ht="12.75">
      <c r="B115" s="741"/>
      <c r="C115" s="712"/>
      <c r="D115" s="744"/>
      <c r="E115" s="705"/>
      <c r="F115" s="706"/>
      <c r="G115" s="709"/>
      <c r="H115" s="476" t="s">
        <v>222</v>
      </c>
      <c r="I115" s="518"/>
      <c r="J115" s="477">
        <f t="shared" si="3"/>
        <v>0</v>
      </c>
      <c r="K115" s="432">
        <f>'Custo da Mão de Obra '!$E$15*(1-$O$5)</f>
        <v>19.333522727272726</v>
      </c>
      <c r="L115" s="693"/>
      <c r="M115" s="694"/>
      <c r="N115" s="693"/>
      <c r="O115" s="697"/>
      <c r="P115" s="692"/>
      <c r="Q115" s="698"/>
      <c r="R115" s="692"/>
      <c r="T115" s="479"/>
      <c r="U115" s="480"/>
      <c r="V115" s="481"/>
      <c r="W115" s="482"/>
      <c r="X115" s="483"/>
      <c r="Y115" s="484"/>
      <c r="Z115" s="479"/>
      <c r="AA115" s="479"/>
      <c r="AB115" s="485"/>
      <c r="AC115" s="485"/>
      <c r="AD115" s="485"/>
      <c r="AE115" s="481"/>
      <c r="AF115" s="481"/>
      <c r="AG115" s="481"/>
      <c r="AH115" s="479"/>
    </row>
    <row r="116" spans="2:34" s="478" customFormat="1" ht="12.75">
      <c r="B116" s="739">
        <v>27</v>
      </c>
      <c r="C116" s="710" t="s">
        <v>447</v>
      </c>
      <c r="D116" s="742"/>
      <c r="E116" s="705">
        <f>$I$5*D116</f>
        <v>0</v>
      </c>
      <c r="F116" s="706">
        <f>IF(D116&lt;&gt;0,D116*$I$5,E116)</f>
        <v>0</v>
      </c>
      <c r="G116" s="707">
        <f>F116*(1+$L$5)</f>
        <v>0</v>
      </c>
      <c r="H116" s="476" t="s">
        <v>205</v>
      </c>
      <c r="I116" s="518"/>
      <c r="J116" s="477">
        <f t="shared" si="3"/>
        <v>0</v>
      </c>
      <c r="K116" s="432">
        <f>'Custo da Mão de Obra '!$E$12*(1-$O$5)</f>
        <v>90.64420454545456</v>
      </c>
      <c r="L116" s="693">
        <f>SUM(J116*K116,J117*K117,J118*K118,J119*K119)</f>
        <v>32.31280303030303</v>
      </c>
      <c r="M116" s="694">
        <v>1</v>
      </c>
      <c r="N116" s="693">
        <f>M116*L116</f>
        <v>32.31280303030303</v>
      </c>
      <c r="O116" s="695">
        <f>N116*(1+$R$5)</f>
        <v>40.43301043181818</v>
      </c>
      <c r="P116" s="692">
        <f>F116+N116</f>
        <v>32.31280303030303</v>
      </c>
      <c r="Q116" s="692">
        <f>O116+G116</f>
        <v>40.43301043181818</v>
      </c>
      <c r="R116" s="692">
        <f>Q116*(1+$U$5)</f>
        <v>43.44526970898864</v>
      </c>
      <c r="T116" s="479"/>
      <c r="U116" s="480"/>
      <c r="V116" s="481"/>
      <c r="W116" s="482"/>
      <c r="X116" s="483"/>
      <c r="Y116" s="484"/>
      <c r="Z116" s="479"/>
      <c r="AA116" s="479"/>
      <c r="AB116" s="485"/>
      <c r="AC116" s="485"/>
      <c r="AD116" s="485"/>
      <c r="AE116" s="481"/>
      <c r="AF116" s="481"/>
      <c r="AG116" s="481"/>
      <c r="AH116" s="479"/>
    </row>
    <row r="117" spans="2:34" s="478" customFormat="1" ht="12.75">
      <c r="B117" s="740"/>
      <c r="C117" s="711"/>
      <c r="D117" s="743"/>
      <c r="E117" s="705"/>
      <c r="F117" s="706"/>
      <c r="G117" s="708"/>
      <c r="H117" s="476" t="s">
        <v>184</v>
      </c>
      <c r="I117" s="518">
        <v>40</v>
      </c>
      <c r="J117" s="477">
        <f t="shared" si="3"/>
        <v>0.6666666666666666</v>
      </c>
      <c r="K117" s="432">
        <f>'Custo da Mão de Obra '!$E$13*(1-$O$5)</f>
        <v>48.469204545454545</v>
      </c>
      <c r="L117" s="693"/>
      <c r="M117" s="694"/>
      <c r="N117" s="693"/>
      <c r="O117" s="696"/>
      <c r="P117" s="692"/>
      <c r="Q117" s="698"/>
      <c r="R117" s="692"/>
      <c r="T117" s="479"/>
      <c r="U117" s="480"/>
      <c r="V117" s="481"/>
      <c r="W117" s="482"/>
      <c r="X117" s="483"/>
      <c r="Y117" s="484"/>
      <c r="Z117" s="479"/>
      <c r="AA117" s="479"/>
      <c r="AB117" s="485"/>
      <c r="AC117" s="485"/>
      <c r="AD117" s="485"/>
      <c r="AE117" s="481"/>
      <c r="AF117" s="481"/>
      <c r="AG117" s="481"/>
      <c r="AH117" s="479"/>
    </row>
    <row r="118" spans="2:34" s="478" customFormat="1" ht="12.75">
      <c r="B118" s="740"/>
      <c r="C118" s="711"/>
      <c r="D118" s="743"/>
      <c r="E118" s="705"/>
      <c r="F118" s="706"/>
      <c r="G118" s="708"/>
      <c r="H118" s="476" t="s">
        <v>217</v>
      </c>
      <c r="I118" s="518"/>
      <c r="J118" s="477">
        <f t="shared" si="3"/>
        <v>0</v>
      </c>
      <c r="K118" s="432">
        <f>'Custo da Mão de Obra '!$E$14*(1-$O$5)</f>
        <v>40.00335227272728</v>
      </c>
      <c r="L118" s="693"/>
      <c r="M118" s="694"/>
      <c r="N118" s="693"/>
      <c r="O118" s="696"/>
      <c r="P118" s="692"/>
      <c r="Q118" s="698"/>
      <c r="R118" s="692"/>
      <c r="T118" s="479"/>
      <c r="U118" s="480"/>
      <c r="V118" s="481"/>
      <c r="W118" s="482"/>
      <c r="X118" s="483"/>
      <c r="Y118" s="484"/>
      <c r="Z118" s="479"/>
      <c r="AA118" s="479"/>
      <c r="AB118" s="485"/>
      <c r="AC118" s="485"/>
      <c r="AD118" s="485"/>
      <c r="AE118" s="481"/>
      <c r="AF118" s="481"/>
      <c r="AG118" s="481"/>
      <c r="AH118" s="479"/>
    </row>
    <row r="119" spans="2:34" s="478" customFormat="1" ht="12.75">
      <c r="B119" s="741"/>
      <c r="C119" s="712"/>
      <c r="D119" s="744"/>
      <c r="E119" s="705"/>
      <c r="F119" s="706"/>
      <c r="G119" s="709"/>
      <c r="H119" s="476" t="s">
        <v>222</v>
      </c>
      <c r="I119" s="518"/>
      <c r="J119" s="477">
        <f t="shared" si="3"/>
        <v>0</v>
      </c>
      <c r="K119" s="432">
        <f>'Custo da Mão de Obra '!$E$15*(1-$O$5)</f>
        <v>19.333522727272726</v>
      </c>
      <c r="L119" s="693"/>
      <c r="M119" s="694"/>
      <c r="N119" s="693"/>
      <c r="O119" s="697"/>
      <c r="P119" s="692"/>
      <c r="Q119" s="698"/>
      <c r="R119" s="692"/>
      <c r="T119" s="479"/>
      <c r="U119" s="480"/>
      <c r="V119" s="481"/>
      <c r="W119" s="482"/>
      <c r="X119" s="483"/>
      <c r="Y119" s="484"/>
      <c r="Z119" s="479"/>
      <c r="AA119" s="479"/>
      <c r="AB119" s="485"/>
      <c r="AC119" s="485"/>
      <c r="AD119" s="485"/>
      <c r="AE119" s="481"/>
      <c r="AF119" s="481"/>
      <c r="AG119" s="481"/>
      <c r="AH119" s="479"/>
    </row>
    <row r="120" spans="2:34" s="478" customFormat="1" ht="12.75">
      <c r="B120" s="739">
        <v>28</v>
      </c>
      <c r="C120" s="710" t="s">
        <v>451</v>
      </c>
      <c r="D120" s="742"/>
      <c r="E120" s="705">
        <f>$I$5*D120</f>
        <v>0</v>
      </c>
      <c r="F120" s="706">
        <f>IF(D120&lt;&gt;0,D120*$I$5,E120)</f>
        <v>0</v>
      </c>
      <c r="G120" s="707">
        <f>F120*(1+$L$5)</f>
        <v>0</v>
      </c>
      <c r="H120" s="476" t="s">
        <v>205</v>
      </c>
      <c r="I120" s="518"/>
      <c r="J120" s="477">
        <f t="shared" si="3"/>
        <v>0</v>
      </c>
      <c r="K120" s="432">
        <f>'Custo da Mão de Obra '!$E$12*(1-$O$5)</f>
        <v>90.64420454545456</v>
      </c>
      <c r="L120" s="693">
        <f>SUM(J120*K120,J121*K121,J122*K122,J123*K123)</f>
        <v>32.31280303030303</v>
      </c>
      <c r="M120" s="694">
        <v>1</v>
      </c>
      <c r="N120" s="693">
        <f>M120*L120</f>
        <v>32.31280303030303</v>
      </c>
      <c r="O120" s="695">
        <f>N120*(1+$R$5)</f>
        <v>40.43301043181818</v>
      </c>
      <c r="P120" s="692">
        <f>F120+N120</f>
        <v>32.31280303030303</v>
      </c>
      <c r="Q120" s="692">
        <f>O120+G120</f>
        <v>40.43301043181818</v>
      </c>
      <c r="R120" s="692">
        <f>Q120*(1+$U$5)</f>
        <v>43.44526970898864</v>
      </c>
      <c r="T120" s="479"/>
      <c r="U120" s="480"/>
      <c r="V120" s="481"/>
      <c r="W120" s="482"/>
      <c r="X120" s="483"/>
      <c r="Y120" s="484"/>
      <c r="Z120" s="479"/>
      <c r="AA120" s="479"/>
      <c r="AB120" s="485"/>
      <c r="AC120" s="485"/>
      <c r="AD120" s="485"/>
      <c r="AE120" s="481"/>
      <c r="AF120" s="481"/>
      <c r="AG120" s="481"/>
      <c r="AH120" s="479"/>
    </row>
    <row r="121" spans="2:34" s="478" customFormat="1" ht="12.75">
      <c r="B121" s="740"/>
      <c r="C121" s="711"/>
      <c r="D121" s="743"/>
      <c r="E121" s="705"/>
      <c r="F121" s="706"/>
      <c r="G121" s="708"/>
      <c r="H121" s="476" t="s">
        <v>184</v>
      </c>
      <c r="I121" s="518">
        <v>40</v>
      </c>
      <c r="J121" s="477">
        <f t="shared" si="3"/>
        <v>0.6666666666666666</v>
      </c>
      <c r="K121" s="432">
        <f>'Custo da Mão de Obra '!$E$13*(1-$O$5)</f>
        <v>48.469204545454545</v>
      </c>
      <c r="L121" s="693"/>
      <c r="M121" s="694"/>
      <c r="N121" s="693"/>
      <c r="O121" s="696"/>
      <c r="P121" s="692"/>
      <c r="Q121" s="698"/>
      <c r="R121" s="692"/>
      <c r="T121" s="479"/>
      <c r="U121" s="480"/>
      <c r="V121" s="481"/>
      <c r="W121" s="482"/>
      <c r="X121" s="483"/>
      <c r="Y121" s="484"/>
      <c r="Z121" s="479"/>
      <c r="AA121" s="479"/>
      <c r="AB121" s="485"/>
      <c r="AC121" s="485"/>
      <c r="AD121" s="485"/>
      <c r="AE121" s="481"/>
      <c r="AF121" s="481"/>
      <c r="AG121" s="481"/>
      <c r="AH121" s="479"/>
    </row>
    <row r="122" spans="2:34" s="478" customFormat="1" ht="12.75">
      <c r="B122" s="740"/>
      <c r="C122" s="711"/>
      <c r="D122" s="743"/>
      <c r="E122" s="705"/>
      <c r="F122" s="706"/>
      <c r="G122" s="708"/>
      <c r="H122" s="476" t="s">
        <v>217</v>
      </c>
      <c r="I122" s="518"/>
      <c r="J122" s="477">
        <f t="shared" si="3"/>
        <v>0</v>
      </c>
      <c r="K122" s="432">
        <f>'Custo da Mão de Obra '!$E$14*(1-$O$5)</f>
        <v>40.00335227272728</v>
      </c>
      <c r="L122" s="693"/>
      <c r="M122" s="694"/>
      <c r="N122" s="693"/>
      <c r="O122" s="696"/>
      <c r="P122" s="692"/>
      <c r="Q122" s="698"/>
      <c r="R122" s="692"/>
      <c r="T122" s="479"/>
      <c r="U122" s="480"/>
      <c r="V122" s="481"/>
      <c r="W122" s="482"/>
      <c r="X122" s="483"/>
      <c r="Y122" s="484"/>
      <c r="Z122" s="479"/>
      <c r="AA122" s="479"/>
      <c r="AB122" s="485"/>
      <c r="AC122" s="485"/>
      <c r="AD122" s="485"/>
      <c r="AE122" s="481"/>
      <c r="AF122" s="481"/>
      <c r="AG122" s="481"/>
      <c r="AH122" s="479"/>
    </row>
    <row r="123" spans="2:34" s="478" customFormat="1" ht="12.75">
      <c r="B123" s="741"/>
      <c r="C123" s="712"/>
      <c r="D123" s="744"/>
      <c r="E123" s="705"/>
      <c r="F123" s="706"/>
      <c r="G123" s="709"/>
      <c r="H123" s="476" t="s">
        <v>222</v>
      </c>
      <c r="I123" s="518"/>
      <c r="J123" s="477">
        <f t="shared" si="3"/>
        <v>0</v>
      </c>
      <c r="K123" s="432">
        <f>'Custo da Mão de Obra '!$E$15*(1-$O$5)</f>
        <v>19.333522727272726</v>
      </c>
      <c r="L123" s="693"/>
      <c r="M123" s="694"/>
      <c r="N123" s="693"/>
      <c r="O123" s="697"/>
      <c r="P123" s="692"/>
      <c r="Q123" s="698"/>
      <c r="R123" s="692"/>
      <c r="T123" s="479"/>
      <c r="U123" s="480"/>
      <c r="V123" s="481"/>
      <c r="W123" s="482"/>
      <c r="X123" s="483"/>
      <c r="Y123" s="484"/>
      <c r="Z123" s="479"/>
      <c r="AA123" s="479"/>
      <c r="AB123" s="485"/>
      <c r="AC123" s="485"/>
      <c r="AD123" s="485"/>
      <c r="AE123" s="481"/>
      <c r="AF123" s="481"/>
      <c r="AG123" s="481"/>
      <c r="AH123" s="479"/>
    </row>
    <row r="124" spans="2:34" s="478" customFormat="1" ht="12.75">
      <c r="B124" s="739">
        <v>29</v>
      </c>
      <c r="C124" s="710" t="s">
        <v>448</v>
      </c>
      <c r="D124" s="742"/>
      <c r="E124" s="705">
        <f>$I$5*D124</f>
        <v>0</v>
      </c>
      <c r="F124" s="706">
        <f>IF(D124&lt;&gt;0,D124*$I$5,E124)</f>
        <v>0</v>
      </c>
      <c r="G124" s="707">
        <f>F124*(1+$L$5)</f>
        <v>0</v>
      </c>
      <c r="H124" s="476" t="s">
        <v>205</v>
      </c>
      <c r="I124" s="518"/>
      <c r="J124" s="477">
        <f t="shared" si="3"/>
        <v>0</v>
      </c>
      <c r="K124" s="432">
        <f>'Custo da Mão de Obra '!$E$12*(1-$O$5)</f>
        <v>90.64420454545456</v>
      </c>
      <c r="L124" s="693">
        <f>SUM(J124*K124,J125*K125,J126*K126,J127*K127)</f>
        <v>32.31280303030303</v>
      </c>
      <c r="M124" s="694">
        <v>1</v>
      </c>
      <c r="N124" s="693">
        <f>M124*L124</f>
        <v>32.31280303030303</v>
      </c>
      <c r="O124" s="695">
        <f>N124*(1+$R$5)</f>
        <v>40.43301043181818</v>
      </c>
      <c r="P124" s="692">
        <f>F124+N124</f>
        <v>32.31280303030303</v>
      </c>
      <c r="Q124" s="692">
        <f>O124+G124</f>
        <v>40.43301043181818</v>
      </c>
      <c r="R124" s="692">
        <f>Q124*(1+$U$5)</f>
        <v>43.44526970898864</v>
      </c>
      <c r="T124" s="479"/>
      <c r="U124" s="480"/>
      <c r="V124" s="481"/>
      <c r="W124" s="482"/>
      <c r="X124" s="483"/>
      <c r="Y124" s="484"/>
      <c r="Z124" s="479"/>
      <c r="AA124" s="479"/>
      <c r="AB124" s="485"/>
      <c r="AC124" s="485"/>
      <c r="AD124" s="485"/>
      <c r="AE124" s="481"/>
      <c r="AF124" s="481"/>
      <c r="AG124" s="481"/>
      <c r="AH124" s="479"/>
    </row>
    <row r="125" spans="2:34" s="478" customFormat="1" ht="12.75">
      <c r="B125" s="740"/>
      <c r="C125" s="711"/>
      <c r="D125" s="743"/>
      <c r="E125" s="705"/>
      <c r="F125" s="706"/>
      <c r="G125" s="708"/>
      <c r="H125" s="476" t="s">
        <v>184</v>
      </c>
      <c r="I125" s="518">
        <v>40</v>
      </c>
      <c r="J125" s="477">
        <f t="shared" si="3"/>
        <v>0.6666666666666666</v>
      </c>
      <c r="K125" s="432">
        <f>'Custo da Mão de Obra '!$E$13*(1-$O$5)</f>
        <v>48.469204545454545</v>
      </c>
      <c r="L125" s="693"/>
      <c r="M125" s="694"/>
      <c r="N125" s="693"/>
      <c r="O125" s="696"/>
      <c r="P125" s="692"/>
      <c r="Q125" s="698"/>
      <c r="R125" s="692"/>
      <c r="T125" s="479"/>
      <c r="U125" s="480"/>
      <c r="V125" s="481"/>
      <c r="W125" s="482"/>
      <c r="X125" s="483"/>
      <c r="Y125" s="484"/>
      <c r="Z125" s="479"/>
      <c r="AA125" s="479"/>
      <c r="AB125" s="485"/>
      <c r="AC125" s="485"/>
      <c r="AD125" s="485"/>
      <c r="AE125" s="481"/>
      <c r="AF125" s="481"/>
      <c r="AG125" s="481"/>
      <c r="AH125" s="479"/>
    </row>
    <row r="126" spans="2:34" s="478" customFormat="1" ht="12.75">
      <c r="B126" s="740"/>
      <c r="C126" s="711"/>
      <c r="D126" s="743"/>
      <c r="E126" s="705"/>
      <c r="F126" s="706"/>
      <c r="G126" s="708"/>
      <c r="H126" s="476" t="s">
        <v>217</v>
      </c>
      <c r="I126" s="518"/>
      <c r="J126" s="477">
        <f t="shared" si="3"/>
        <v>0</v>
      </c>
      <c r="K126" s="432">
        <f>'Custo da Mão de Obra '!$E$14*(1-$O$5)</f>
        <v>40.00335227272728</v>
      </c>
      <c r="L126" s="693"/>
      <c r="M126" s="694"/>
      <c r="N126" s="693"/>
      <c r="O126" s="696"/>
      <c r="P126" s="692"/>
      <c r="Q126" s="698"/>
      <c r="R126" s="692"/>
      <c r="T126" s="479"/>
      <c r="U126" s="480"/>
      <c r="V126" s="481"/>
      <c r="W126" s="482"/>
      <c r="X126" s="483"/>
      <c r="Y126" s="484"/>
      <c r="Z126" s="479"/>
      <c r="AA126" s="479"/>
      <c r="AB126" s="485"/>
      <c r="AC126" s="485"/>
      <c r="AD126" s="485"/>
      <c r="AE126" s="481"/>
      <c r="AF126" s="481"/>
      <c r="AG126" s="481"/>
      <c r="AH126" s="479"/>
    </row>
    <row r="127" spans="2:34" s="478" customFormat="1" ht="12.75">
      <c r="B127" s="741"/>
      <c r="C127" s="712"/>
      <c r="D127" s="744"/>
      <c r="E127" s="705"/>
      <c r="F127" s="706"/>
      <c r="G127" s="709"/>
      <c r="H127" s="476" t="s">
        <v>222</v>
      </c>
      <c r="I127" s="518"/>
      <c r="J127" s="477">
        <f t="shared" si="3"/>
        <v>0</v>
      </c>
      <c r="K127" s="432">
        <f>'Custo da Mão de Obra '!$E$15*(1-$O$5)</f>
        <v>19.333522727272726</v>
      </c>
      <c r="L127" s="693"/>
      <c r="M127" s="694"/>
      <c r="N127" s="693"/>
      <c r="O127" s="697"/>
      <c r="P127" s="692"/>
      <c r="Q127" s="698"/>
      <c r="R127" s="692"/>
      <c r="T127" s="479"/>
      <c r="U127" s="480"/>
      <c r="V127" s="481"/>
      <c r="W127" s="482"/>
      <c r="X127" s="483"/>
      <c r="Y127" s="484"/>
      <c r="Z127" s="479"/>
      <c r="AA127" s="479"/>
      <c r="AB127" s="485"/>
      <c r="AC127" s="485"/>
      <c r="AD127" s="485"/>
      <c r="AE127" s="481"/>
      <c r="AF127" s="481"/>
      <c r="AG127" s="481"/>
      <c r="AH127" s="479"/>
    </row>
    <row r="128" spans="2:34" s="478" customFormat="1" ht="12.75">
      <c r="B128" s="739">
        <v>30</v>
      </c>
      <c r="C128" s="710" t="s">
        <v>438</v>
      </c>
      <c r="D128" s="742"/>
      <c r="E128" s="705">
        <f>$I$5*D128</f>
        <v>0</v>
      </c>
      <c r="F128" s="706">
        <f>IF(D128&lt;&gt;0,D128*$I$5,E128)</f>
        <v>0</v>
      </c>
      <c r="G128" s="707">
        <f>F128*(1+$L$5)</f>
        <v>0</v>
      </c>
      <c r="H128" s="476" t="s">
        <v>205</v>
      </c>
      <c r="I128" s="518"/>
      <c r="J128" s="477">
        <f t="shared" si="3"/>
        <v>0</v>
      </c>
      <c r="K128" s="432">
        <f>'Custo da Mão de Obra '!$E$12*(1-$O$5)</f>
        <v>90.64420454545456</v>
      </c>
      <c r="L128" s="693">
        <f>SUM(J128*K128,J129*K129,J130*K130,J131*K131)</f>
        <v>32.31280303030303</v>
      </c>
      <c r="M128" s="694">
        <v>1</v>
      </c>
      <c r="N128" s="693">
        <f>M128*L128</f>
        <v>32.31280303030303</v>
      </c>
      <c r="O128" s="695">
        <f>N128*(1+$R$5)</f>
        <v>40.43301043181818</v>
      </c>
      <c r="P128" s="692">
        <f>F128+N128</f>
        <v>32.31280303030303</v>
      </c>
      <c r="Q128" s="692">
        <f>O128+G128</f>
        <v>40.43301043181818</v>
      </c>
      <c r="R128" s="692">
        <f>Q128*(1+$U$5)</f>
        <v>43.44526970898864</v>
      </c>
      <c r="T128" s="479"/>
      <c r="U128" s="480"/>
      <c r="V128" s="481"/>
      <c r="W128" s="482"/>
      <c r="X128" s="483"/>
      <c r="Y128" s="484"/>
      <c r="Z128" s="479"/>
      <c r="AA128" s="479"/>
      <c r="AB128" s="485"/>
      <c r="AC128" s="485"/>
      <c r="AD128" s="485"/>
      <c r="AE128" s="481"/>
      <c r="AF128" s="481"/>
      <c r="AG128" s="481"/>
      <c r="AH128" s="479"/>
    </row>
    <row r="129" spans="2:34" s="478" customFormat="1" ht="12.75">
      <c r="B129" s="740"/>
      <c r="C129" s="711"/>
      <c r="D129" s="743"/>
      <c r="E129" s="705"/>
      <c r="F129" s="706"/>
      <c r="G129" s="708"/>
      <c r="H129" s="476" t="s">
        <v>184</v>
      </c>
      <c r="I129" s="518">
        <v>40</v>
      </c>
      <c r="J129" s="477">
        <f t="shared" si="3"/>
        <v>0.6666666666666666</v>
      </c>
      <c r="K129" s="432">
        <f>'Custo da Mão de Obra '!$E$13*(1-$O$5)</f>
        <v>48.469204545454545</v>
      </c>
      <c r="L129" s="693"/>
      <c r="M129" s="694"/>
      <c r="N129" s="693"/>
      <c r="O129" s="696"/>
      <c r="P129" s="692"/>
      <c r="Q129" s="698"/>
      <c r="R129" s="692"/>
      <c r="T129" s="479"/>
      <c r="U129" s="480"/>
      <c r="V129" s="481"/>
      <c r="W129" s="482"/>
      <c r="X129" s="483"/>
      <c r="Y129" s="484"/>
      <c r="Z129" s="479"/>
      <c r="AA129" s="479"/>
      <c r="AB129" s="485"/>
      <c r="AC129" s="485"/>
      <c r="AD129" s="485"/>
      <c r="AE129" s="481"/>
      <c r="AF129" s="481"/>
      <c r="AG129" s="481"/>
      <c r="AH129" s="479"/>
    </row>
    <row r="130" spans="2:34" s="478" customFormat="1" ht="12.75">
      <c r="B130" s="740"/>
      <c r="C130" s="711"/>
      <c r="D130" s="743"/>
      <c r="E130" s="705"/>
      <c r="F130" s="706"/>
      <c r="G130" s="708"/>
      <c r="H130" s="476" t="s">
        <v>217</v>
      </c>
      <c r="I130" s="518"/>
      <c r="J130" s="477">
        <f t="shared" si="3"/>
        <v>0</v>
      </c>
      <c r="K130" s="432">
        <f>'Custo da Mão de Obra '!$E$14*(1-$O$5)</f>
        <v>40.00335227272728</v>
      </c>
      <c r="L130" s="693"/>
      <c r="M130" s="694"/>
      <c r="N130" s="693"/>
      <c r="O130" s="696"/>
      <c r="P130" s="692"/>
      <c r="Q130" s="698"/>
      <c r="R130" s="692"/>
      <c r="T130" s="479"/>
      <c r="U130" s="480"/>
      <c r="V130" s="481"/>
      <c r="W130" s="482"/>
      <c r="X130" s="483"/>
      <c r="Y130" s="484"/>
      <c r="Z130" s="479"/>
      <c r="AA130" s="479"/>
      <c r="AB130" s="485"/>
      <c r="AC130" s="485"/>
      <c r="AD130" s="485"/>
      <c r="AE130" s="481"/>
      <c r="AF130" s="481"/>
      <c r="AG130" s="481"/>
      <c r="AH130" s="479"/>
    </row>
    <row r="131" spans="2:34" s="478" customFormat="1" ht="12.75">
      <c r="B131" s="741"/>
      <c r="C131" s="712"/>
      <c r="D131" s="744"/>
      <c r="E131" s="705"/>
      <c r="F131" s="706"/>
      <c r="G131" s="709"/>
      <c r="H131" s="486" t="s">
        <v>222</v>
      </c>
      <c r="I131" s="519"/>
      <c r="J131" s="477">
        <f t="shared" si="3"/>
        <v>0</v>
      </c>
      <c r="K131" s="432">
        <f>'Custo da Mão de Obra '!$E$15*(1-$O$5)</f>
        <v>19.333522727272726</v>
      </c>
      <c r="L131" s="693"/>
      <c r="M131" s="694"/>
      <c r="N131" s="693"/>
      <c r="O131" s="697"/>
      <c r="P131" s="692"/>
      <c r="Q131" s="698"/>
      <c r="R131" s="692"/>
      <c r="T131" s="479"/>
      <c r="U131" s="480"/>
      <c r="V131" s="481"/>
      <c r="W131" s="482"/>
      <c r="X131" s="483"/>
      <c r="Y131" s="484"/>
      <c r="Z131" s="479"/>
      <c r="AA131" s="479"/>
      <c r="AB131" s="485"/>
      <c r="AC131" s="485"/>
      <c r="AD131" s="485"/>
      <c r="AE131" s="481"/>
      <c r="AF131" s="481"/>
      <c r="AG131" s="481"/>
      <c r="AH131" s="479"/>
    </row>
    <row r="132" spans="2:34" s="478" customFormat="1" ht="12.75">
      <c r="B132" s="739">
        <v>31</v>
      </c>
      <c r="C132" s="710" t="s">
        <v>439</v>
      </c>
      <c r="D132" s="742"/>
      <c r="E132" s="705">
        <f>$I$5*D132</f>
        <v>0</v>
      </c>
      <c r="F132" s="706">
        <f>IF(D132&lt;&gt;0,D132*$I$5,E132)</f>
        <v>0</v>
      </c>
      <c r="G132" s="707">
        <f>F132*(1+$L$5)</f>
        <v>0</v>
      </c>
      <c r="H132" s="476" t="s">
        <v>205</v>
      </c>
      <c r="I132" s="518"/>
      <c r="J132" s="477">
        <f t="shared" si="3"/>
        <v>0</v>
      </c>
      <c r="K132" s="432">
        <f>'Custo da Mão de Obra '!$E$12*(1-$O$5)</f>
        <v>90.64420454545456</v>
      </c>
      <c r="L132" s="693">
        <f>SUM(J132*K132,J133*K133,J134*K134,J135*K135)</f>
        <v>32.31280303030303</v>
      </c>
      <c r="M132" s="694">
        <v>1</v>
      </c>
      <c r="N132" s="693">
        <f>M132*L132</f>
        <v>32.31280303030303</v>
      </c>
      <c r="O132" s="695">
        <f>N132*(1+$R$5)</f>
        <v>40.43301043181818</v>
      </c>
      <c r="P132" s="692">
        <f>F132+N132</f>
        <v>32.31280303030303</v>
      </c>
      <c r="Q132" s="692">
        <f>O132+G132</f>
        <v>40.43301043181818</v>
      </c>
      <c r="R132" s="692">
        <f>Q132*(1+$U$5)</f>
        <v>43.44526970898864</v>
      </c>
      <c r="T132" s="479"/>
      <c r="U132" s="480"/>
      <c r="V132" s="481"/>
      <c r="W132" s="482"/>
      <c r="X132" s="483"/>
      <c r="Y132" s="484"/>
      <c r="Z132" s="479"/>
      <c r="AA132" s="479"/>
      <c r="AB132" s="485"/>
      <c r="AC132" s="485"/>
      <c r="AD132" s="485"/>
      <c r="AE132" s="481"/>
      <c r="AF132" s="481"/>
      <c r="AG132" s="481"/>
      <c r="AH132" s="479"/>
    </row>
    <row r="133" spans="2:34" s="478" customFormat="1" ht="12.75">
      <c r="B133" s="740"/>
      <c r="C133" s="711"/>
      <c r="D133" s="743"/>
      <c r="E133" s="705"/>
      <c r="F133" s="706"/>
      <c r="G133" s="708"/>
      <c r="H133" s="476" t="s">
        <v>184</v>
      </c>
      <c r="I133" s="518">
        <v>40</v>
      </c>
      <c r="J133" s="477">
        <f t="shared" si="3"/>
        <v>0.6666666666666666</v>
      </c>
      <c r="K133" s="432">
        <f>'Custo da Mão de Obra '!$E$13*(1-$O$5)</f>
        <v>48.469204545454545</v>
      </c>
      <c r="L133" s="693"/>
      <c r="M133" s="694"/>
      <c r="N133" s="693"/>
      <c r="O133" s="696"/>
      <c r="P133" s="692"/>
      <c r="Q133" s="698"/>
      <c r="R133" s="692"/>
      <c r="T133" s="479"/>
      <c r="U133" s="480"/>
      <c r="V133" s="481"/>
      <c r="W133" s="482"/>
      <c r="X133" s="483"/>
      <c r="Y133" s="484"/>
      <c r="Z133" s="479"/>
      <c r="AA133" s="479"/>
      <c r="AB133" s="485"/>
      <c r="AC133" s="485"/>
      <c r="AD133" s="485"/>
      <c r="AE133" s="481"/>
      <c r="AF133" s="481"/>
      <c r="AG133" s="481"/>
      <c r="AH133" s="479"/>
    </row>
    <row r="134" spans="2:34" s="478" customFormat="1" ht="12.75">
      <c r="B134" s="740"/>
      <c r="C134" s="711"/>
      <c r="D134" s="743"/>
      <c r="E134" s="705"/>
      <c r="F134" s="706"/>
      <c r="G134" s="708"/>
      <c r="H134" s="476" t="s">
        <v>217</v>
      </c>
      <c r="I134" s="518"/>
      <c r="J134" s="477">
        <f t="shared" si="3"/>
        <v>0</v>
      </c>
      <c r="K134" s="432">
        <f>'Custo da Mão de Obra '!$E$14*(1-$O$5)</f>
        <v>40.00335227272728</v>
      </c>
      <c r="L134" s="693"/>
      <c r="M134" s="694"/>
      <c r="N134" s="693"/>
      <c r="O134" s="696"/>
      <c r="P134" s="692"/>
      <c r="Q134" s="698"/>
      <c r="R134" s="692"/>
      <c r="T134" s="479"/>
      <c r="U134" s="480"/>
      <c r="V134" s="481"/>
      <c r="W134" s="482"/>
      <c r="X134" s="483"/>
      <c r="Y134" s="484"/>
      <c r="Z134" s="479"/>
      <c r="AA134" s="479"/>
      <c r="AB134" s="485"/>
      <c r="AC134" s="485"/>
      <c r="AD134" s="485"/>
      <c r="AE134" s="481"/>
      <c r="AF134" s="481"/>
      <c r="AG134" s="481"/>
      <c r="AH134" s="479"/>
    </row>
    <row r="135" spans="2:34" s="478" customFormat="1" ht="12.75">
      <c r="B135" s="741"/>
      <c r="C135" s="712"/>
      <c r="D135" s="744"/>
      <c r="E135" s="705"/>
      <c r="F135" s="706"/>
      <c r="G135" s="709"/>
      <c r="H135" s="476" t="s">
        <v>222</v>
      </c>
      <c r="I135" s="518"/>
      <c r="J135" s="477">
        <f t="shared" si="3"/>
        <v>0</v>
      </c>
      <c r="K135" s="432">
        <f>'Custo da Mão de Obra '!$E$15*(1-$O$5)</f>
        <v>19.333522727272726</v>
      </c>
      <c r="L135" s="693"/>
      <c r="M135" s="694"/>
      <c r="N135" s="693"/>
      <c r="O135" s="697"/>
      <c r="P135" s="692"/>
      <c r="Q135" s="698"/>
      <c r="R135" s="692"/>
      <c r="T135" s="479"/>
      <c r="U135" s="480"/>
      <c r="V135" s="481"/>
      <c r="W135" s="482"/>
      <c r="X135" s="483"/>
      <c r="Y135" s="484"/>
      <c r="Z135" s="479"/>
      <c r="AA135" s="479"/>
      <c r="AB135" s="485"/>
      <c r="AC135" s="485"/>
      <c r="AD135" s="485"/>
      <c r="AE135" s="481"/>
      <c r="AF135" s="481"/>
      <c r="AG135" s="481"/>
      <c r="AH135" s="479"/>
    </row>
    <row r="136" spans="2:34" s="478" customFormat="1" ht="12.75">
      <c r="B136" s="739">
        <v>32</v>
      </c>
      <c r="C136" s="710" t="s">
        <v>449</v>
      </c>
      <c r="D136" s="742"/>
      <c r="E136" s="705">
        <f>$I$5*D136</f>
        <v>0</v>
      </c>
      <c r="F136" s="706">
        <f>IF(D136&lt;&gt;0,D136*$I$5,E136)</f>
        <v>0</v>
      </c>
      <c r="G136" s="707">
        <f>F136*(1+$L$5)</f>
        <v>0</v>
      </c>
      <c r="H136" s="476" t="s">
        <v>205</v>
      </c>
      <c r="I136" s="518"/>
      <c r="J136" s="477">
        <f t="shared" si="3"/>
        <v>0</v>
      </c>
      <c r="K136" s="432">
        <f>'Custo da Mão de Obra '!$E$12*(1-$O$5)</f>
        <v>90.64420454545456</v>
      </c>
      <c r="L136" s="693">
        <f>SUM(J136*K136,J137*K137,J138*K138,J139*K139)</f>
        <v>32.31280303030303</v>
      </c>
      <c r="M136" s="694">
        <v>1</v>
      </c>
      <c r="N136" s="693">
        <f>M136*L136</f>
        <v>32.31280303030303</v>
      </c>
      <c r="O136" s="695">
        <f>N136*(1+$R$5)</f>
        <v>40.43301043181818</v>
      </c>
      <c r="P136" s="692">
        <f>F136+N136</f>
        <v>32.31280303030303</v>
      </c>
      <c r="Q136" s="692">
        <f>O136+G136</f>
        <v>40.43301043181818</v>
      </c>
      <c r="R136" s="692">
        <f>Q136*(1+$U$5)</f>
        <v>43.44526970898864</v>
      </c>
      <c r="T136" s="479"/>
      <c r="U136" s="480"/>
      <c r="V136" s="481"/>
      <c r="W136" s="482"/>
      <c r="X136" s="483"/>
      <c r="Y136" s="484"/>
      <c r="Z136" s="479"/>
      <c r="AA136" s="479"/>
      <c r="AB136" s="485"/>
      <c r="AC136" s="485"/>
      <c r="AD136" s="485"/>
      <c r="AE136" s="481"/>
      <c r="AF136" s="481"/>
      <c r="AG136" s="481"/>
      <c r="AH136" s="479"/>
    </row>
    <row r="137" spans="2:34" s="478" customFormat="1" ht="12.75">
      <c r="B137" s="740"/>
      <c r="C137" s="711"/>
      <c r="D137" s="743"/>
      <c r="E137" s="705"/>
      <c r="F137" s="706"/>
      <c r="G137" s="708"/>
      <c r="H137" s="476" t="s">
        <v>184</v>
      </c>
      <c r="I137" s="518">
        <v>40</v>
      </c>
      <c r="J137" s="477">
        <f t="shared" si="3"/>
        <v>0.6666666666666666</v>
      </c>
      <c r="K137" s="432">
        <f>'Custo da Mão de Obra '!$E$13*(1-$O$5)</f>
        <v>48.469204545454545</v>
      </c>
      <c r="L137" s="693"/>
      <c r="M137" s="694"/>
      <c r="N137" s="693"/>
      <c r="O137" s="696"/>
      <c r="P137" s="692"/>
      <c r="Q137" s="698"/>
      <c r="R137" s="692"/>
      <c r="T137" s="479"/>
      <c r="U137" s="480"/>
      <c r="V137" s="481"/>
      <c r="W137" s="482"/>
      <c r="X137" s="483"/>
      <c r="Y137" s="484"/>
      <c r="Z137" s="479"/>
      <c r="AA137" s="479"/>
      <c r="AB137" s="485"/>
      <c r="AC137" s="485"/>
      <c r="AD137" s="485"/>
      <c r="AE137" s="481"/>
      <c r="AF137" s="481"/>
      <c r="AG137" s="481"/>
      <c r="AH137" s="479"/>
    </row>
    <row r="138" spans="2:34" s="478" customFormat="1" ht="12.75">
      <c r="B138" s="740"/>
      <c r="C138" s="711"/>
      <c r="D138" s="743"/>
      <c r="E138" s="705"/>
      <c r="F138" s="706"/>
      <c r="G138" s="708"/>
      <c r="H138" s="476" t="s">
        <v>217</v>
      </c>
      <c r="I138" s="518"/>
      <c r="J138" s="477">
        <f t="shared" si="3"/>
        <v>0</v>
      </c>
      <c r="K138" s="432">
        <f>'Custo da Mão de Obra '!$E$14*(1-$O$5)</f>
        <v>40.00335227272728</v>
      </c>
      <c r="L138" s="693"/>
      <c r="M138" s="694"/>
      <c r="N138" s="693"/>
      <c r="O138" s="696"/>
      <c r="P138" s="692"/>
      <c r="Q138" s="698"/>
      <c r="R138" s="692"/>
      <c r="T138" s="479"/>
      <c r="U138" s="480"/>
      <c r="V138" s="481"/>
      <c r="W138" s="482"/>
      <c r="X138" s="483"/>
      <c r="Y138" s="484"/>
      <c r="Z138" s="479"/>
      <c r="AA138" s="479"/>
      <c r="AB138" s="485"/>
      <c r="AC138" s="485"/>
      <c r="AD138" s="485"/>
      <c r="AE138" s="481"/>
      <c r="AF138" s="481"/>
      <c r="AG138" s="481"/>
      <c r="AH138" s="479"/>
    </row>
    <row r="139" spans="2:34" s="478" customFormat="1" ht="12.75">
      <c r="B139" s="741"/>
      <c r="C139" s="712"/>
      <c r="D139" s="744"/>
      <c r="E139" s="705"/>
      <c r="F139" s="706"/>
      <c r="G139" s="709"/>
      <c r="H139" s="476" t="s">
        <v>222</v>
      </c>
      <c r="I139" s="518"/>
      <c r="J139" s="477">
        <f t="shared" si="3"/>
        <v>0</v>
      </c>
      <c r="K139" s="432">
        <f>'Custo da Mão de Obra '!$E$15*(1-$O$5)</f>
        <v>19.333522727272726</v>
      </c>
      <c r="L139" s="693"/>
      <c r="M139" s="694"/>
      <c r="N139" s="693"/>
      <c r="O139" s="697"/>
      <c r="P139" s="692"/>
      <c r="Q139" s="698"/>
      <c r="R139" s="692"/>
      <c r="T139" s="479"/>
      <c r="U139" s="480"/>
      <c r="V139" s="481"/>
      <c r="W139" s="482"/>
      <c r="X139" s="483"/>
      <c r="Y139" s="484"/>
      <c r="Z139" s="479"/>
      <c r="AA139" s="479"/>
      <c r="AB139" s="485"/>
      <c r="AC139" s="485"/>
      <c r="AD139" s="485"/>
      <c r="AE139" s="481"/>
      <c r="AF139" s="481"/>
      <c r="AG139" s="481"/>
      <c r="AH139" s="479"/>
    </row>
    <row r="140" spans="2:32" s="478" customFormat="1" ht="12.75">
      <c r="B140" s="699">
        <v>33</v>
      </c>
      <c r="C140" s="710" t="s">
        <v>440</v>
      </c>
      <c r="D140" s="702"/>
      <c r="E140" s="705">
        <f>$I$5*D140</f>
        <v>0</v>
      </c>
      <c r="F140" s="706">
        <f>IF(D140&lt;&gt;0,D140*$I$5,E140)</f>
        <v>0</v>
      </c>
      <c r="G140" s="707">
        <f>F140*(1+$L$5)</f>
        <v>0</v>
      </c>
      <c r="H140" s="476" t="s">
        <v>205</v>
      </c>
      <c r="I140" s="518"/>
      <c r="J140" s="477">
        <f t="shared" si="3"/>
        <v>0</v>
      </c>
      <c r="K140" s="432">
        <f>'Custo da Mão de Obra '!$E$12*(1-$O$5)</f>
        <v>90.64420454545456</v>
      </c>
      <c r="L140" s="693">
        <f>SUM(J140*K140,J141*K141,J142*K142,J143*K143)</f>
        <v>32.31280303030303</v>
      </c>
      <c r="M140" s="694">
        <v>1</v>
      </c>
      <c r="N140" s="693">
        <f>M140*L140</f>
        <v>32.31280303030303</v>
      </c>
      <c r="O140" s="695">
        <f>N140*(1+$R$5)</f>
        <v>40.43301043181818</v>
      </c>
      <c r="P140" s="692">
        <f>F140+N140</f>
        <v>32.31280303030303</v>
      </c>
      <c r="Q140" s="692">
        <f>O140+G140</f>
        <v>40.43301043181818</v>
      </c>
      <c r="R140" s="692">
        <f>Q140*(1+$U$5)</f>
        <v>43.44526970898864</v>
      </c>
      <c r="T140" s="479"/>
      <c r="U140" s="480"/>
      <c r="V140" s="481"/>
      <c r="W140" s="487"/>
      <c r="X140" s="488"/>
      <c r="Y140" s="484"/>
      <c r="Z140" s="479"/>
      <c r="AA140" s="479"/>
      <c r="AC140" s="489"/>
      <c r="AD140" s="490"/>
      <c r="AE140" s="491"/>
      <c r="AF140" s="479"/>
    </row>
    <row r="141" spans="2:32" s="478" customFormat="1" ht="12.75">
      <c r="B141" s="699"/>
      <c r="C141" s="711"/>
      <c r="D141" s="703"/>
      <c r="E141" s="705"/>
      <c r="F141" s="706"/>
      <c r="G141" s="708"/>
      <c r="H141" s="476" t="s">
        <v>184</v>
      </c>
      <c r="I141" s="518">
        <v>40</v>
      </c>
      <c r="J141" s="477">
        <f t="shared" si="3"/>
        <v>0.6666666666666666</v>
      </c>
      <c r="K141" s="432">
        <f>'Custo da Mão de Obra '!$E$13*(1-$O$5)</f>
        <v>48.469204545454545</v>
      </c>
      <c r="L141" s="693"/>
      <c r="M141" s="694"/>
      <c r="N141" s="693"/>
      <c r="O141" s="696"/>
      <c r="P141" s="692"/>
      <c r="Q141" s="698"/>
      <c r="R141" s="692"/>
      <c r="T141" s="479"/>
      <c r="U141" s="480"/>
      <c r="V141" s="481"/>
      <c r="W141" s="487"/>
      <c r="X141" s="488"/>
      <c r="Y141" s="484"/>
      <c r="Z141" s="479"/>
      <c r="AA141" s="479"/>
      <c r="AC141" s="489"/>
      <c r="AD141" s="490"/>
      <c r="AE141" s="491"/>
      <c r="AF141" s="479"/>
    </row>
    <row r="142" spans="2:32" s="478" customFormat="1" ht="12.75">
      <c r="B142" s="699"/>
      <c r="C142" s="711"/>
      <c r="D142" s="703"/>
      <c r="E142" s="705"/>
      <c r="F142" s="706"/>
      <c r="G142" s="708"/>
      <c r="H142" s="476" t="s">
        <v>217</v>
      </c>
      <c r="I142" s="518"/>
      <c r="J142" s="477">
        <f t="shared" si="3"/>
        <v>0</v>
      </c>
      <c r="K142" s="432">
        <f>'Custo da Mão de Obra '!$E$14*(1-$O$5)</f>
        <v>40.00335227272728</v>
      </c>
      <c r="L142" s="693"/>
      <c r="M142" s="694"/>
      <c r="N142" s="693"/>
      <c r="O142" s="696"/>
      <c r="P142" s="692"/>
      <c r="Q142" s="698"/>
      <c r="R142" s="692"/>
      <c r="T142" s="479"/>
      <c r="U142" s="480"/>
      <c r="V142" s="481"/>
      <c r="W142" s="487"/>
      <c r="X142" s="488"/>
      <c r="Y142" s="484"/>
      <c r="Z142" s="479"/>
      <c r="AA142" s="479"/>
      <c r="AC142" s="489"/>
      <c r="AD142" s="490"/>
      <c r="AE142" s="491"/>
      <c r="AF142" s="479"/>
    </row>
    <row r="143" spans="2:32" s="478" customFormat="1" ht="12.75">
      <c r="B143" s="699"/>
      <c r="C143" s="712"/>
      <c r="D143" s="704"/>
      <c r="E143" s="705"/>
      <c r="F143" s="706"/>
      <c r="G143" s="709"/>
      <c r="H143" s="476" t="s">
        <v>222</v>
      </c>
      <c r="I143" s="518"/>
      <c r="J143" s="477">
        <f t="shared" si="3"/>
        <v>0</v>
      </c>
      <c r="K143" s="432">
        <f>'Custo da Mão de Obra '!$E$15*(1-$O$5)</f>
        <v>19.333522727272726</v>
      </c>
      <c r="L143" s="693"/>
      <c r="M143" s="694"/>
      <c r="N143" s="693"/>
      <c r="O143" s="697"/>
      <c r="P143" s="692"/>
      <c r="Q143" s="698"/>
      <c r="R143" s="692"/>
      <c r="T143" s="479"/>
      <c r="U143" s="480"/>
      <c r="V143" s="481"/>
      <c r="W143" s="487"/>
      <c r="X143" s="488"/>
      <c r="Y143" s="484"/>
      <c r="Z143" s="479"/>
      <c r="AA143" s="479"/>
      <c r="AC143" s="489"/>
      <c r="AD143" s="490"/>
      <c r="AE143" s="491"/>
      <c r="AF143" s="479"/>
    </row>
    <row r="144" spans="2:32" s="478" customFormat="1" ht="12.75">
      <c r="B144" s="699">
        <v>34</v>
      </c>
      <c r="C144" s="710" t="s">
        <v>441</v>
      </c>
      <c r="D144" s="702"/>
      <c r="E144" s="705">
        <f>$I$5*D144</f>
        <v>0</v>
      </c>
      <c r="F144" s="706">
        <f>IF(D144&lt;&gt;0,D144*$I$5,E144)</f>
        <v>0</v>
      </c>
      <c r="G144" s="707">
        <f>F144*(1+$L$5)</f>
        <v>0</v>
      </c>
      <c r="H144" s="476" t="s">
        <v>205</v>
      </c>
      <c r="I144" s="518"/>
      <c r="J144" s="477">
        <f t="shared" si="3"/>
        <v>0</v>
      </c>
      <c r="K144" s="432">
        <f>'Custo da Mão de Obra '!$E$12*(1-$O$5)</f>
        <v>90.64420454545456</v>
      </c>
      <c r="L144" s="693">
        <f>SUM(J144*K144,J145*K145,J146*K146,J147*K147)</f>
        <v>32.31280303030303</v>
      </c>
      <c r="M144" s="694">
        <v>1</v>
      </c>
      <c r="N144" s="693">
        <f>M144*L144</f>
        <v>32.31280303030303</v>
      </c>
      <c r="O144" s="695">
        <f>N144*(1+$R$5)</f>
        <v>40.43301043181818</v>
      </c>
      <c r="P144" s="692">
        <f>F144+N144</f>
        <v>32.31280303030303</v>
      </c>
      <c r="Q144" s="692">
        <f>O144+G144</f>
        <v>40.43301043181818</v>
      </c>
      <c r="R144" s="692">
        <f>Q144*(1+$U$5)</f>
        <v>43.44526970898864</v>
      </c>
      <c r="T144" s="479"/>
      <c r="U144" s="480"/>
      <c r="V144" s="481"/>
      <c r="W144" s="487"/>
      <c r="X144" s="488"/>
      <c r="Y144" s="484"/>
      <c r="Z144" s="479"/>
      <c r="AA144" s="479"/>
      <c r="AC144" s="489"/>
      <c r="AD144" s="490"/>
      <c r="AE144" s="491"/>
      <c r="AF144" s="479"/>
    </row>
    <row r="145" spans="2:32" s="478" customFormat="1" ht="12.75">
      <c r="B145" s="699"/>
      <c r="C145" s="711"/>
      <c r="D145" s="703"/>
      <c r="E145" s="705"/>
      <c r="F145" s="706"/>
      <c r="G145" s="708"/>
      <c r="H145" s="476" t="s">
        <v>184</v>
      </c>
      <c r="I145" s="518">
        <v>40</v>
      </c>
      <c r="J145" s="477">
        <f t="shared" si="3"/>
        <v>0.6666666666666666</v>
      </c>
      <c r="K145" s="432">
        <f>'Custo da Mão de Obra '!$E$13*(1-$O$5)</f>
        <v>48.469204545454545</v>
      </c>
      <c r="L145" s="693"/>
      <c r="M145" s="694"/>
      <c r="N145" s="693"/>
      <c r="O145" s="696"/>
      <c r="P145" s="692"/>
      <c r="Q145" s="698"/>
      <c r="R145" s="692"/>
      <c r="T145" s="479"/>
      <c r="U145" s="480"/>
      <c r="V145" s="481"/>
      <c r="W145" s="487"/>
      <c r="X145" s="488"/>
      <c r="Y145" s="484"/>
      <c r="Z145" s="479"/>
      <c r="AA145" s="479"/>
      <c r="AC145" s="489"/>
      <c r="AD145" s="490"/>
      <c r="AE145" s="491"/>
      <c r="AF145" s="479"/>
    </row>
    <row r="146" spans="2:32" s="478" customFormat="1" ht="12.75">
      <c r="B146" s="699"/>
      <c r="C146" s="711"/>
      <c r="D146" s="703"/>
      <c r="E146" s="705"/>
      <c r="F146" s="706"/>
      <c r="G146" s="708"/>
      <c r="H146" s="476" t="s">
        <v>217</v>
      </c>
      <c r="I146" s="518"/>
      <c r="J146" s="477">
        <f t="shared" si="3"/>
        <v>0</v>
      </c>
      <c r="K146" s="432">
        <f>'Custo da Mão de Obra '!$E$14*(1-$O$5)</f>
        <v>40.00335227272728</v>
      </c>
      <c r="L146" s="693"/>
      <c r="M146" s="694"/>
      <c r="N146" s="693"/>
      <c r="O146" s="696"/>
      <c r="P146" s="692"/>
      <c r="Q146" s="698"/>
      <c r="R146" s="692"/>
      <c r="T146" s="479"/>
      <c r="U146" s="480"/>
      <c r="V146" s="481"/>
      <c r="W146" s="487"/>
      <c r="X146" s="488"/>
      <c r="Y146" s="484"/>
      <c r="Z146" s="479"/>
      <c r="AA146" s="479"/>
      <c r="AC146" s="489"/>
      <c r="AD146" s="490"/>
      <c r="AE146" s="491"/>
      <c r="AF146" s="479"/>
    </row>
    <row r="147" spans="2:32" s="478" customFormat="1" ht="12.75">
      <c r="B147" s="699"/>
      <c r="C147" s="712"/>
      <c r="D147" s="704"/>
      <c r="E147" s="705"/>
      <c r="F147" s="706"/>
      <c r="G147" s="709"/>
      <c r="H147" s="476" t="s">
        <v>222</v>
      </c>
      <c r="I147" s="518"/>
      <c r="J147" s="477">
        <f t="shared" si="3"/>
        <v>0</v>
      </c>
      <c r="K147" s="432">
        <f>'Custo da Mão de Obra '!$E$15*(1-$O$5)</f>
        <v>19.333522727272726</v>
      </c>
      <c r="L147" s="693"/>
      <c r="M147" s="694"/>
      <c r="N147" s="693"/>
      <c r="O147" s="697"/>
      <c r="P147" s="692"/>
      <c r="Q147" s="698"/>
      <c r="R147" s="692"/>
      <c r="T147" s="479"/>
      <c r="U147" s="480"/>
      <c r="V147" s="481"/>
      <c r="W147" s="487"/>
      <c r="X147" s="488"/>
      <c r="Y147" s="484"/>
      <c r="Z147" s="479"/>
      <c r="AA147" s="479"/>
      <c r="AC147" s="489"/>
      <c r="AD147" s="490"/>
      <c r="AE147" s="491"/>
      <c r="AF147" s="479"/>
    </row>
    <row r="148" spans="2:32" s="478" customFormat="1" ht="12.75">
      <c r="B148" s="699">
        <v>35</v>
      </c>
      <c r="C148" s="710" t="s">
        <v>442</v>
      </c>
      <c r="D148" s="702"/>
      <c r="E148" s="705">
        <f>$I$5*D148</f>
        <v>0</v>
      </c>
      <c r="F148" s="706">
        <f>IF(D148&lt;&gt;0,D148*$I$5,E148)</f>
        <v>0</v>
      </c>
      <c r="G148" s="707">
        <f>F148*(1+$L$5)</f>
        <v>0</v>
      </c>
      <c r="H148" s="476" t="s">
        <v>205</v>
      </c>
      <c r="I148" s="518"/>
      <c r="J148" s="477">
        <f t="shared" si="3"/>
        <v>0</v>
      </c>
      <c r="K148" s="432">
        <f>'Custo da Mão de Obra '!$E$12*(1-$O$5)</f>
        <v>90.64420454545456</v>
      </c>
      <c r="L148" s="693">
        <f>SUM(J148*K148,J149*K149,J150*K150,J151*K151)</f>
        <v>32.31280303030303</v>
      </c>
      <c r="M148" s="694">
        <v>1</v>
      </c>
      <c r="N148" s="693">
        <f>M148*L148</f>
        <v>32.31280303030303</v>
      </c>
      <c r="O148" s="695">
        <f>N148*(1+$R$5)</f>
        <v>40.43301043181818</v>
      </c>
      <c r="P148" s="692">
        <f>F148+N148</f>
        <v>32.31280303030303</v>
      </c>
      <c r="Q148" s="692">
        <f>O148+G148</f>
        <v>40.43301043181818</v>
      </c>
      <c r="R148" s="692">
        <f>Q148*(1+$U$5)</f>
        <v>43.44526970898864</v>
      </c>
      <c r="T148" s="479"/>
      <c r="U148" s="480"/>
      <c r="V148" s="481"/>
      <c r="W148" s="487"/>
      <c r="X148" s="488"/>
      <c r="Y148" s="484"/>
      <c r="Z148" s="479"/>
      <c r="AA148" s="479"/>
      <c r="AC148" s="489"/>
      <c r="AD148" s="490"/>
      <c r="AE148" s="491"/>
      <c r="AF148" s="479"/>
    </row>
    <row r="149" spans="2:32" s="478" customFormat="1" ht="12.75">
      <c r="B149" s="699"/>
      <c r="C149" s="711"/>
      <c r="D149" s="703"/>
      <c r="E149" s="705"/>
      <c r="F149" s="706"/>
      <c r="G149" s="708"/>
      <c r="H149" s="476" t="s">
        <v>184</v>
      </c>
      <c r="I149" s="518">
        <v>40</v>
      </c>
      <c r="J149" s="477">
        <f t="shared" si="3"/>
        <v>0.6666666666666666</v>
      </c>
      <c r="K149" s="432">
        <f>'Custo da Mão de Obra '!$E$13*(1-$O$5)</f>
        <v>48.469204545454545</v>
      </c>
      <c r="L149" s="693"/>
      <c r="M149" s="694"/>
      <c r="N149" s="693"/>
      <c r="O149" s="696"/>
      <c r="P149" s="692"/>
      <c r="Q149" s="698"/>
      <c r="R149" s="692"/>
      <c r="T149" s="479"/>
      <c r="U149" s="480"/>
      <c r="V149" s="481"/>
      <c r="W149" s="487"/>
      <c r="X149" s="488"/>
      <c r="Y149" s="484"/>
      <c r="Z149" s="479"/>
      <c r="AA149" s="479"/>
      <c r="AC149" s="489"/>
      <c r="AD149" s="490"/>
      <c r="AE149" s="491"/>
      <c r="AF149" s="479"/>
    </row>
    <row r="150" spans="2:32" s="478" customFormat="1" ht="12.75">
      <c r="B150" s="699"/>
      <c r="C150" s="711"/>
      <c r="D150" s="703"/>
      <c r="E150" s="705"/>
      <c r="F150" s="706"/>
      <c r="G150" s="708"/>
      <c r="H150" s="476" t="s">
        <v>217</v>
      </c>
      <c r="I150" s="518"/>
      <c r="J150" s="477">
        <f t="shared" si="3"/>
        <v>0</v>
      </c>
      <c r="K150" s="432">
        <f>'Custo da Mão de Obra '!$E$14*(1-$O$5)</f>
        <v>40.00335227272728</v>
      </c>
      <c r="L150" s="693"/>
      <c r="M150" s="694"/>
      <c r="N150" s="693"/>
      <c r="O150" s="696"/>
      <c r="P150" s="692"/>
      <c r="Q150" s="698"/>
      <c r="R150" s="692"/>
      <c r="T150" s="479"/>
      <c r="U150" s="480"/>
      <c r="V150" s="481"/>
      <c r="W150" s="487"/>
      <c r="X150" s="488"/>
      <c r="Y150" s="484"/>
      <c r="Z150" s="479"/>
      <c r="AA150" s="479"/>
      <c r="AC150" s="489"/>
      <c r="AD150" s="490"/>
      <c r="AE150" s="491"/>
      <c r="AF150" s="479"/>
    </row>
    <row r="151" spans="2:32" s="478" customFormat="1" ht="12.75">
      <c r="B151" s="699"/>
      <c r="C151" s="712"/>
      <c r="D151" s="704"/>
      <c r="E151" s="705"/>
      <c r="F151" s="706"/>
      <c r="G151" s="709"/>
      <c r="H151" s="476" t="s">
        <v>222</v>
      </c>
      <c r="I151" s="518"/>
      <c r="J151" s="477">
        <f t="shared" si="3"/>
        <v>0</v>
      </c>
      <c r="K151" s="432">
        <f>'Custo da Mão de Obra '!$E$15*(1-$O$5)</f>
        <v>19.333522727272726</v>
      </c>
      <c r="L151" s="693"/>
      <c r="M151" s="694"/>
      <c r="N151" s="693"/>
      <c r="O151" s="697"/>
      <c r="P151" s="692"/>
      <c r="Q151" s="698"/>
      <c r="R151" s="692"/>
      <c r="T151" s="479"/>
      <c r="U151" s="480"/>
      <c r="V151" s="481"/>
      <c r="W151" s="487"/>
      <c r="X151" s="488"/>
      <c r="Y151" s="484"/>
      <c r="Z151" s="479"/>
      <c r="AA151" s="479"/>
      <c r="AC151" s="489"/>
      <c r="AD151" s="490"/>
      <c r="AE151" s="491"/>
      <c r="AF151" s="479"/>
    </row>
    <row r="152" spans="2:32" s="478" customFormat="1" ht="12.75">
      <c r="B152" s="699">
        <v>36</v>
      </c>
      <c r="C152" s="710" t="s">
        <v>443</v>
      </c>
      <c r="D152" s="702"/>
      <c r="E152" s="705">
        <f>$I$5*D152</f>
        <v>0</v>
      </c>
      <c r="F152" s="706">
        <f>IF(D152&lt;&gt;0,D152*$I$5,E152)</f>
        <v>0</v>
      </c>
      <c r="G152" s="707">
        <f>F152*(1+$L$5)</f>
        <v>0</v>
      </c>
      <c r="H152" s="476" t="s">
        <v>205</v>
      </c>
      <c r="I152" s="518"/>
      <c r="J152" s="477">
        <f t="shared" si="3"/>
        <v>0</v>
      </c>
      <c r="K152" s="432">
        <f>'Custo da Mão de Obra '!$E$12*(1-$O$5)</f>
        <v>90.64420454545456</v>
      </c>
      <c r="L152" s="693">
        <f>SUM(J152*K152,J153*K153,J154*K154,J155*K155)</f>
        <v>32.31280303030303</v>
      </c>
      <c r="M152" s="694">
        <v>1</v>
      </c>
      <c r="N152" s="693">
        <f>M152*L152</f>
        <v>32.31280303030303</v>
      </c>
      <c r="O152" s="695">
        <f>N152*(1+$R$5)</f>
        <v>40.43301043181818</v>
      </c>
      <c r="P152" s="692">
        <f>F152+N152</f>
        <v>32.31280303030303</v>
      </c>
      <c r="Q152" s="692">
        <f>O152+G152</f>
        <v>40.43301043181818</v>
      </c>
      <c r="R152" s="692">
        <f>Q152*(1+$U$5)</f>
        <v>43.44526970898864</v>
      </c>
      <c r="T152" s="479"/>
      <c r="U152" s="480"/>
      <c r="V152" s="481"/>
      <c r="W152" s="487"/>
      <c r="X152" s="488"/>
      <c r="Y152" s="484"/>
      <c r="Z152" s="479"/>
      <c r="AA152" s="479"/>
      <c r="AC152" s="489"/>
      <c r="AD152" s="490"/>
      <c r="AE152" s="491"/>
      <c r="AF152" s="479"/>
    </row>
    <row r="153" spans="2:32" s="478" customFormat="1" ht="12.75">
      <c r="B153" s="699"/>
      <c r="C153" s="711"/>
      <c r="D153" s="703"/>
      <c r="E153" s="705"/>
      <c r="F153" s="706"/>
      <c r="G153" s="708"/>
      <c r="H153" s="476" t="s">
        <v>184</v>
      </c>
      <c r="I153" s="518">
        <v>40</v>
      </c>
      <c r="J153" s="477">
        <f t="shared" si="3"/>
        <v>0.6666666666666666</v>
      </c>
      <c r="K153" s="432">
        <f>'Custo da Mão de Obra '!$E$13*(1-$O$5)</f>
        <v>48.469204545454545</v>
      </c>
      <c r="L153" s="693"/>
      <c r="M153" s="694"/>
      <c r="N153" s="693"/>
      <c r="O153" s="696"/>
      <c r="P153" s="692"/>
      <c r="Q153" s="698"/>
      <c r="R153" s="692"/>
      <c r="T153" s="479"/>
      <c r="U153" s="480"/>
      <c r="V153" s="481"/>
      <c r="W153" s="487"/>
      <c r="X153" s="488"/>
      <c r="Y153" s="484"/>
      <c r="Z153" s="479"/>
      <c r="AA153" s="479"/>
      <c r="AC153" s="489"/>
      <c r="AD153" s="490"/>
      <c r="AE153" s="491"/>
      <c r="AF153" s="479"/>
    </row>
    <row r="154" spans="2:32" s="478" customFormat="1" ht="12.75">
      <c r="B154" s="699"/>
      <c r="C154" s="711"/>
      <c r="D154" s="703"/>
      <c r="E154" s="705"/>
      <c r="F154" s="706"/>
      <c r="G154" s="708"/>
      <c r="H154" s="476" t="s">
        <v>217</v>
      </c>
      <c r="I154" s="518"/>
      <c r="J154" s="477">
        <f t="shared" si="3"/>
        <v>0</v>
      </c>
      <c r="K154" s="432">
        <f>'Custo da Mão de Obra '!$E$14*(1-$O$5)</f>
        <v>40.00335227272728</v>
      </c>
      <c r="L154" s="693"/>
      <c r="M154" s="694"/>
      <c r="N154" s="693"/>
      <c r="O154" s="696"/>
      <c r="P154" s="692"/>
      <c r="Q154" s="698"/>
      <c r="R154" s="692"/>
      <c r="T154" s="479"/>
      <c r="U154" s="480"/>
      <c r="V154" s="481"/>
      <c r="W154" s="487"/>
      <c r="X154" s="488"/>
      <c r="Y154" s="484"/>
      <c r="Z154" s="479"/>
      <c r="AA154" s="479"/>
      <c r="AC154" s="489"/>
      <c r="AD154" s="490"/>
      <c r="AE154" s="491"/>
      <c r="AF154" s="479"/>
    </row>
    <row r="155" spans="2:32" s="478" customFormat="1" ht="12.75">
      <c r="B155" s="699"/>
      <c r="C155" s="712"/>
      <c r="D155" s="704"/>
      <c r="E155" s="705"/>
      <c r="F155" s="706"/>
      <c r="G155" s="709"/>
      <c r="H155" s="476" t="s">
        <v>222</v>
      </c>
      <c r="I155" s="518"/>
      <c r="J155" s="477">
        <f t="shared" si="3"/>
        <v>0</v>
      </c>
      <c r="K155" s="432">
        <f>'Custo da Mão de Obra '!$E$15*(1-$O$5)</f>
        <v>19.333522727272726</v>
      </c>
      <c r="L155" s="693"/>
      <c r="M155" s="694"/>
      <c r="N155" s="693"/>
      <c r="O155" s="697"/>
      <c r="P155" s="692"/>
      <c r="Q155" s="698"/>
      <c r="R155" s="692"/>
      <c r="T155" s="479"/>
      <c r="U155" s="480"/>
      <c r="V155" s="481"/>
      <c r="W155" s="487"/>
      <c r="X155" s="488"/>
      <c r="Y155" s="484"/>
      <c r="Z155" s="479"/>
      <c r="AA155" s="479"/>
      <c r="AC155" s="489"/>
      <c r="AD155" s="490"/>
      <c r="AE155" s="491"/>
      <c r="AF155" s="479"/>
    </row>
    <row r="156" spans="2:32" s="478" customFormat="1" ht="12.75">
      <c r="B156" s="699">
        <v>37</v>
      </c>
      <c r="C156" s="710" t="s">
        <v>452</v>
      </c>
      <c r="D156" s="702"/>
      <c r="E156" s="705">
        <f>$I$5*D156</f>
        <v>0</v>
      </c>
      <c r="F156" s="706">
        <f>IF(D156&lt;&gt;0,D156*$I$5,E156)</f>
        <v>0</v>
      </c>
      <c r="G156" s="707">
        <f>F156*(1+$L$5)</f>
        <v>0</v>
      </c>
      <c r="H156" s="492" t="s">
        <v>205</v>
      </c>
      <c r="I156" s="518"/>
      <c r="J156" s="477">
        <f t="shared" si="3"/>
        <v>0</v>
      </c>
      <c r="K156" s="432">
        <f>'Custo da Mão de Obra '!$E$12*(1-$O$5)</f>
        <v>90.64420454545456</v>
      </c>
      <c r="L156" s="693">
        <f>SUM(J156*K156,J157*K157,J158*K158,J159*K159)</f>
        <v>32.31280303030303</v>
      </c>
      <c r="M156" s="694">
        <v>1</v>
      </c>
      <c r="N156" s="693">
        <f>M156*L156</f>
        <v>32.31280303030303</v>
      </c>
      <c r="O156" s="695">
        <f>N156*(1+$R$5)</f>
        <v>40.43301043181818</v>
      </c>
      <c r="P156" s="692">
        <f>F156+N156</f>
        <v>32.31280303030303</v>
      </c>
      <c r="Q156" s="692">
        <f>O156+G156</f>
        <v>40.43301043181818</v>
      </c>
      <c r="R156" s="692">
        <f>Q156*(1+$U$5)</f>
        <v>43.44526970898864</v>
      </c>
      <c r="T156" s="479"/>
      <c r="U156" s="480"/>
      <c r="V156" s="481"/>
      <c r="W156" s="487"/>
      <c r="X156" s="488"/>
      <c r="Y156" s="484"/>
      <c r="Z156" s="479"/>
      <c r="AA156" s="479"/>
      <c r="AC156" s="489"/>
      <c r="AD156" s="490"/>
      <c r="AE156" s="491"/>
      <c r="AF156" s="479"/>
    </row>
    <row r="157" spans="2:32" s="478" customFormat="1" ht="12.75">
      <c r="B157" s="699"/>
      <c r="C157" s="711"/>
      <c r="D157" s="703"/>
      <c r="E157" s="705"/>
      <c r="F157" s="706"/>
      <c r="G157" s="708"/>
      <c r="H157" s="492" t="s">
        <v>184</v>
      </c>
      <c r="I157" s="518">
        <v>40</v>
      </c>
      <c r="J157" s="477">
        <f t="shared" si="3"/>
        <v>0.6666666666666666</v>
      </c>
      <c r="K157" s="432">
        <f>'Custo da Mão de Obra '!$E$13*(1-$O$5)</f>
        <v>48.469204545454545</v>
      </c>
      <c r="L157" s="693"/>
      <c r="M157" s="694"/>
      <c r="N157" s="693"/>
      <c r="O157" s="696"/>
      <c r="P157" s="692"/>
      <c r="Q157" s="698"/>
      <c r="R157" s="692"/>
      <c r="T157" s="479"/>
      <c r="U157" s="480"/>
      <c r="V157" s="481"/>
      <c r="W157" s="487"/>
      <c r="X157" s="488"/>
      <c r="Y157" s="484"/>
      <c r="Z157" s="479"/>
      <c r="AA157" s="479"/>
      <c r="AC157" s="489"/>
      <c r="AD157" s="490"/>
      <c r="AE157" s="491"/>
      <c r="AF157" s="479"/>
    </row>
    <row r="158" spans="2:32" s="478" customFormat="1" ht="12.75">
      <c r="B158" s="699"/>
      <c r="C158" s="711"/>
      <c r="D158" s="703"/>
      <c r="E158" s="705"/>
      <c r="F158" s="706"/>
      <c r="G158" s="708"/>
      <c r="H158" s="492" t="s">
        <v>217</v>
      </c>
      <c r="I158" s="518"/>
      <c r="J158" s="477">
        <f t="shared" si="3"/>
        <v>0</v>
      </c>
      <c r="K158" s="432">
        <f>'Custo da Mão de Obra '!$E$14*(1-$O$5)</f>
        <v>40.00335227272728</v>
      </c>
      <c r="L158" s="693"/>
      <c r="M158" s="694"/>
      <c r="N158" s="693"/>
      <c r="O158" s="696"/>
      <c r="P158" s="692"/>
      <c r="Q158" s="698"/>
      <c r="R158" s="692"/>
      <c r="T158" s="479"/>
      <c r="U158" s="480"/>
      <c r="V158" s="481"/>
      <c r="W158" s="487"/>
      <c r="X158" s="488"/>
      <c r="Y158" s="484"/>
      <c r="Z158" s="479"/>
      <c r="AA158" s="479"/>
      <c r="AC158" s="489"/>
      <c r="AD158" s="490"/>
      <c r="AE158" s="491"/>
      <c r="AF158" s="479"/>
    </row>
    <row r="159" spans="2:32" s="478" customFormat="1" ht="12.75">
      <c r="B159" s="699"/>
      <c r="C159" s="712"/>
      <c r="D159" s="704"/>
      <c r="E159" s="705"/>
      <c r="F159" s="706"/>
      <c r="G159" s="709"/>
      <c r="H159" s="492" t="s">
        <v>222</v>
      </c>
      <c r="I159" s="518"/>
      <c r="J159" s="477">
        <f t="shared" si="3"/>
        <v>0</v>
      </c>
      <c r="K159" s="432">
        <f>'Custo da Mão de Obra '!$E$15*(1-$O$5)</f>
        <v>19.333522727272726</v>
      </c>
      <c r="L159" s="693"/>
      <c r="M159" s="694"/>
      <c r="N159" s="693"/>
      <c r="O159" s="697"/>
      <c r="P159" s="692"/>
      <c r="Q159" s="698"/>
      <c r="R159" s="692"/>
      <c r="T159" s="479"/>
      <c r="U159" s="480"/>
      <c r="V159" s="481"/>
      <c r="W159" s="487"/>
      <c r="X159" s="488"/>
      <c r="Y159" s="484"/>
      <c r="Z159" s="479"/>
      <c r="AA159" s="479"/>
      <c r="AC159" s="489"/>
      <c r="AD159" s="490"/>
      <c r="AE159" s="491"/>
      <c r="AF159" s="479"/>
    </row>
    <row r="160" spans="2:32" s="478" customFormat="1" ht="12.75">
      <c r="B160" s="699">
        <v>38</v>
      </c>
      <c r="C160" s="710" t="s">
        <v>444</v>
      </c>
      <c r="D160" s="702"/>
      <c r="E160" s="705">
        <f>$I$5*D160</f>
        <v>0</v>
      </c>
      <c r="F160" s="706">
        <f>IF(D160&lt;&gt;0,D160*$I$5,E160)</f>
        <v>0</v>
      </c>
      <c r="G160" s="707">
        <f>F160*(1+$L$5)</f>
        <v>0</v>
      </c>
      <c r="H160" s="476" t="s">
        <v>205</v>
      </c>
      <c r="I160" s="518"/>
      <c r="J160" s="477">
        <f t="shared" si="3"/>
        <v>0</v>
      </c>
      <c r="K160" s="432">
        <f>'Custo da Mão de Obra '!$E$12*(1-$O$5)</f>
        <v>90.64420454545456</v>
      </c>
      <c r="L160" s="693">
        <f>SUM(J160*K160,J161*K161,J162*K162,J163*K163)</f>
        <v>32.31280303030303</v>
      </c>
      <c r="M160" s="694">
        <v>1</v>
      </c>
      <c r="N160" s="693">
        <f>M160*L160</f>
        <v>32.31280303030303</v>
      </c>
      <c r="O160" s="695">
        <f>N160*(1+$R$5)</f>
        <v>40.43301043181818</v>
      </c>
      <c r="P160" s="692">
        <f>F160+N160</f>
        <v>32.31280303030303</v>
      </c>
      <c r="Q160" s="692">
        <f>O160+G160</f>
        <v>40.43301043181818</v>
      </c>
      <c r="R160" s="692">
        <f>Q160*(1+$U$5)</f>
        <v>43.44526970898864</v>
      </c>
      <c r="T160" s="479"/>
      <c r="U160" s="480"/>
      <c r="V160" s="481"/>
      <c r="W160" s="487"/>
      <c r="X160" s="493"/>
      <c r="Y160" s="484"/>
      <c r="Z160" s="479"/>
      <c r="AA160" s="479"/>
      <c r="AC160" s="489"/>
      <c r="AD160" s="490"/>
      <c r="AE160" s="491"/>
      <c r="AF160" s="479"/>
    </row>
    <row r="161" spans="2:32" s="478" customFormat="1" ht="12.75">
      <c r="B161" s="699"/>
      <c r="C161" s="711"/>
      <c r="D161" s="703"/>
      <c r="E161" s="705"/>
      <c r="F161" s="706"/>
      <c r="G161" s="708"/>
      <c r="H161" s="476" t="s">
        <v>184</v>
      </c>
      <c r="I161" s="518">
        <v>40</v>
      </c>
      <c r="J161" s="477">
        <f t="shared" si="3"/>
        <v>0.6666666666666666</v>
      </c>
      <c r="K161" s="432">
        <f>'Custo da Mão de Obra '!$E$13*(1-$O$5)</f>
        <v>48.469204545454545</v>
      </c>
      <c r="L161" s="693"/>
      <c r="M161" s="694"/>
      <c r="N161" s="693"/>
      <c r="O161" s="696"/>
      <c r="P161" s="692"/>
      <c r="Q161" s="698"/>
      <c r="R161" s="692"/>
      <c r="T161" s="479"/>
      <c r="U161" s="480"/>
      <c r="V161" s="481"/>
      <c r="W161" s="487"/>
      <c r="X161" s="493"/>
      <c r="Y161" s="484"/>
      <c r="Z161" s="479"/>
      <c r="AA161" s="479"/>
      <c r="AC161" s="489"/>
      <c r="AD161" s="490"/>
      <c r="AE161" s="491"/>
      <c r="AF161" s="479"/>
    </row>
    <row r="162" spans="2:32" s="478" customFormat="1" ht="12.75">
      <c r="B162" s="699"/>
      <c r="C162" s="711"/>
      <c r="D162" s="703"/>
      <c r="E162" s="705"/>
      <c r="F162" s="706"/>
      <c r="G162" s="708"/>
      <c r="H162" s="476" t="s">
        <v>217</v>
      </c>
      <c r="I162" s="518"/>
      <c r="J162" s="477">
        <f t="shared" si="3"/>
        <v>0</v>
      </c>
      <c r="K162" s="432">
        <f>'Custo da Mão de Obra '!$E$14*(1-$O$5)</f>
        <v>40.00335227272728</v>
      </c>
      <c r="L162" s="693"/>
      <c r="M162" s="694"/>
      <c r="N162" s="693"/>
      <c r="O162" s="696"/>
      <c r="P162" s="692"/>
      <c r="Q162" s="698"/>
      <c r="R162" s="692"/>
      <c r="T162" s="479"/>
      <c r="U162" s="480"/>
      <c r="V162" s="481"/>
      <c r="W162" s="487"/>
      <c r="X162" s="493"/>
      <c r="Y162" s="484"/>
      <c r="Z162" s="479"/>
      <c r="AA162" s="479"/>
      <c r="AC162" s="489"/>
      <c r="AD162" s="490"/>
      <c r="AE162" s="491"/>
      <c r="AF162" s="479"/>
    </row>
    <row r="163" spans="2:32" s="478" customFormat="1" ht="12.75">
      <c r="B163" s="699"/>
      <c r="C163" s="712"/>
      <c r="D163" s="704"/>
      <c r="E163" s="705"/>
      <c r="F163" s="706"/>
      <c r="G163" s="709"/>
      <c r="H163" s="476" t="s">
        <v>222</v>
      </c>
      <c r="I163" s="518"/>
      <c r="J163" s="477">
        <f t="shared" si="3"/>
        <v>0</v>
      </c>
      <c r="K163" s="432">
        <f>'Custo da Mão de Obra '!$E$15*(1-$O$5)</f>
        <v>19.333522727272726</v>
      </c>
      <c r="L163" s="693"/>
      <c r="M163" s="694"/>
      <c r="N163" s="693"/>
      <c r="O163" s="697"/>
      <c r="P163" s="692"/>
      <c r="Q163" s="698"/>
      <c r="R163" s="692"/>
      <c r="T163" s="479"/>
      <c r="U163" s="480"/>
      <c r="V163" s="481"/>
      <c r="W163" s="487"/>
      <c r="X163" s="493"/>
      <c r="Y163" s="484"/>
      <c r="Z163" s="479"/>
      <c r="AA163" s="479"/>
      <c r="AC163" s="489"/>
      <c r="AD163" s="490"/>
      <c r="AE163" s="491"/>
      <c r="AF163" s="479"/>
    </row>
    <row r="164" spans="2:32" s="478" customFormat="1" ht="12.75">
      <c r="B164" s="699">
        <v>39</v>
      </c>
      <c r="C164" s="710" t="s">
        <v>445</v>
      </c>
      <c r="D164" s="702"/>
      <c r="E164" s="705">
        <f>$I$5*D164</f>
        <v>0</v>
      </c>
      <c r="F164" s="706">
        <f>IF(D164&lt;&gt;0,D164*$I$5,E164)</f>
        <v>0</v>
      </c>
      <c r="G164" s="707">
        <f>F164*(1+$L$5)</f>
        <v>0</v>
      </c>
      <c r="H164" s="476" t="s">
        <v>205</v>
      </c>
      <c r="I164" s="518"/>
      <c r="J164" s="477">
        <f t="shared" si="3"/>
        <v>0</v>
      </c>
      <c r="K164" s="432">
        <f>'Custo da Mão de Obra '!$E$12*(1-$O$5)</f>
        <v>90.64420454545456</v>
      </c>
      <c r="L164" s="693">
        <f>SUM(J164*K164,J165*K165,J166*K166,J167*K167)</f>
        <v>32.31280303030303</v>
      </c>
      <c r="M164" s="694">
        <v>1</v>
      </c>
      <c r="N164" s="693">
        <f>M164*L164</f>
        <v>32.31280303030303</v>
      </c>
      <c r="O164" s="695">
        <f>N164*(1+$R$5)</f>
        <v>40.43301043181818</v>
      </c>
      <c r="P164" s="692">
        <f>F164+N164</f>
        <v>32.31280303030303</v>
      </c>
      <c r="Q164" s="692">
        <f>O164+G164</f>
        <v>40.43301043181818</v>
      </c>
      <c r="R164" s="692">
        <f>Q164*(1+$U$5)</f>
        <v>43.44526970898864</v>
      </c>
      <c r="T164" s="479"/>
      <c r="U164" s="480"/>
      <c r="V164" s="481"/>
      <c r="W164" s="487"/>
      <c r="X164" s="493"/>
      <c r="Y164" s="484"/>
      <c r="Z164" s="479"/>
      <c r="AA164" s="479"/>
      <c r="AC164" s="489"/>
      <c r="AD164" s="490"/>
      <c r="AE164" s="491"/>
      <c r="AF164" s="479"/>
    </row>
    <row r="165" spans="2:32" s="478" customFormat="1" ht="12.75">
      <c r="B165" s="699"/>
      <c r="C165" s="711"/>
      <c r="D165" s="703"/>
      <c r="E165" s="705"/>
      <c r="F165" s="706"/>
      <c r="G165" s="708"/>
      <c r="H165" s="476" t="s">
        <v>184</v>
      </c>
      <c r="I165" s="518">
        <v>40</v>
      </c>
      <c r="J165" s="477">
        <f t="shared" si="3"/>
        <v>0.6666666666666666</v>
      </c>
      <c r="K165" s="432">
        <f>'Custo da Mão de Obra '!$E$13*(1-$O$5)</f>
        <v>48.469204545454545</v>
      </c>
      <c r="L165" s="693"/>
      <c r="M165" s="694"/>
      <c r="N165" s="693"/>
      <c r="O165" s="696"/>
      <c r="P165" s="692"/>
      <c r="Q165" s="698"/>
      <c r="R165" s="692"/>
      <c r="T165" s="479"/>
      <c r="U165" s="480"/>
      <c r="V165" s="481"/>
      <c r="W165" s="487"/>
      <c r="X165" s="493"/>
      <c r="Y165" s="484"/>
      <c r="Z165" s="479"/>
      <c r="AA165" s="479"/>
      <c r="AC165" s="489"/>
      <c r="AD165" s="490"/>
      <c r="AE165" s="491"/>
      <c r="AF165" s="479"/>
    </row>
    <row r="166" spans="2:32" s="478" customFormat="1" ht="12.75">
      <c r="B166" s="699"/>
      <c r="C166" s="711"/>
      <c r="D166" s="703"/>
      <c r="E166" s="705"/>
      <c r="F166" s="706"/>
      <c r="G166" s="708"/>
      <c r="H166" s="476" t="s">
        <v>217</v>
      </c>
      <c r="I166" s="518"/>
      <c r="J166" s="477">
        <f t="shared" si="3"/>
        <v>0</v>
      </c>
      <c r="K166" s="432">
        <f>'Custo da Mão de Obra '!$E$14*(1-$O$5)</f>
        <v>40.00335227272728</v>
      </c>
      <c r="L166" s="693"/>
      <c r="M166" s="694"/>
      <c r="N166" s="693"/>
      <c r="O166" s="696"/>
      <c r="P166" s="692"/>
      <c r="Q166" s="698"/>
      <c r="R166" s="692"/>
      <c r="T166" s="479"/>
      <c r="U166" s="480"/>
      <c r="V166" s="481"/>
      <c r="W166" s="487"/>
      <c r="X166" s="493"/>
      <c r="Y166" s="484"/>
      <c r="Z166" s="479"/>
      <c r="AA166" s="479"/>
      <c r="AC166" s="489"/>
      <c r="AD166" s="490"/>
      <c r="AE166" s="491"/>
      <c r="AF166" s="479"/>
    </row>
    <row r="167" spans="2:32" s="478" customFormat="1" ht="12.75">
      <c r="B167" s="699"/>
      <c r="C167" s="712"/>
      <c r="D167" s="704"/>
      <c r="E167" s="705"/>
      <c r="F167" s="706"/>
      <c r="G167" s="709"/>
      <c r="H167" s="476" t="s">
        <v>222</v>
      </c>
      <c r="I167" s="518"/>
      <c r="J167" s="477">
        <f t="shared" si="3"/>
        <v>0</v>
      </c>
      <c r="K167" s="432">
        <f>'Custo da Mão de Obra '!$E$15*(1-$O$5)</f>
        <v>19.333522727272726</v>
      </c>
      <c r="L167" s="693"/>
      <c r="M167" s="694"/>
      <c r="N167" s="693"/>
      <c r="O167" s="697"/>
      <c r="P167" s="692"/>
      <c r="Q167" s="698"/>
      <c r="R167" s="692"/>
      <c r="T167" s="479"/>
      <c r="U167" s="480"/>
      <c r="V167" s="481"/>
      <c r="W167" s="487"/>
      <c r="X167" s="493"/>
      <c r="Y167" s="484"/>
      <c r="Z167" s="479"/>
      <c r="AA167" s="479"/>
      <c r="AC167" s="489"/>
      <c r="AD167" s="490"/>
      <c r="AE167" s="491"/>
      <c r="AF167" s="479"/>
    </row>
    <row r="168" spans="2:32" s="478" customFormat="1" ht="12.75">
      <c r="B168" s="699">
        <v>40</v>
      </c>
      <c r="C168" s="700" t="s">
        <v>453</v>
      </c>
      <c r="D168" s="702"/>
      <c r="E168" s="705">
        <f>$I$5*D168</f>
        <v>0</v>
      </c>
      <c r="F168" s="706">
        <f>IF(D168&lt;&gt;0,D168*$I$5,E168)</f>
        <v>0</v>
      </c>
      <c r="G168" s="707">
        <f>F168*(1+$L$5)</f>
        <v>0</v>
      </c>
      <c r="H168" s="476" t="s">
        <v>205</v>
      </c>
      <c r="I168" s="518"/>
      <c r="J168" s="477">
        <f t="shared" si="3"/>
        <v>0</v>
      </c>
      <c r="K168" s="432">
        <f>'Custo da Mão de Obra '!$E$12*(1-$O$5)</f>
        <v>90.64420454545456</v>
      </c>
      <c r="L168" s="693">
        <f>SUM(J168*K168,J169*K169,J170*K170,J171*K171)</f>
        <v>32.31280303030303</v>
      </c>
      <c r="M168" s="694">
        <v>1</v>
      </c>
      <c r="N168" s="693">
        <f>M168*L168</f>
        <v>32.31280303030303</v>
      </c>
      <c r="O168" s="695">
        <f>N168*(1+$R$5)</f>
        <v>40.43301043181818</v>
      </c>
      <c r="P168" s="692">
        <f>F168+N168</f>
        <v>32.31280303030303</v>
      </c>
      <c r="Q168" s="692">
        <f>O168+G168</f>
        <v>40.43301043181818</v>
      </c>
      <c r="R168" s="692">
        <f>Q168*(1+$U$5)</f>
        <v>43.44526970898864</v>
      </c>
      <c r="T168" s="479"/>
      <c r="U168" s="480"/>
      <c r="V168" s="481"/>
      <c r="W168" s="487"/>
      <c r="X168" s="493"/>
      <c r="Y168" s="484"/>
      <c r="Z168" s="479"/>
      <c r="AA168" s="479"/>
      <c r="AC168" s="489"/>
      <c r="AD168" s="490"/>
      <c r="AE168" s="491"/>
      <c r="AF168" s="479"/>
    </row>
    <row r="169" spans="2:32" s="478" customFormat="1" ht="12.75">
      <c r="B169" s="699"/>
      <c r="C169" s="701"/>
      <c r="D169" s="703"/>
      <c r="E169" s="705"/>
      <c r="F169" s="706"/>
      <c r="G169" s="708"/>
      <c r="H169" s="476" t="s">
        <v>184</v>
      </c>
      <c r="I169" s="518">
        <v>40</v>
      </c>
      <c r="J169" s="477">
        <f aca="true" t="shared" si="4" ref="J169:J179">I169/60</f>
        <v>0.6666666666666666</v>
      </c>
      <c r="K169" s="432">
        <f>'Custo da Mão de Obra '!$E$13*(1-$O$5)</f>
        <v>48.469204545454545</v>
      </c>
      <c r="L169" s="693"/>
      <c r="M169" s="694"/>
      <c r="N169" s="693"/>
      <c r="O169" s="696"/>
      <c r="P169" s="692"/>
      <c r="Q169" s="698"/>
      <c r="R169" s="692"/>
      <c r="T169" s="479"/>
      <c r="U169" s="480"/>
      <c r="V169" s="481"/>
      <c r="W169" s="487"/>
      <c r="X169" s="493"/>
      <c r="Y169" s="484"/>
      <c r="Z169" s="479"/>
      <c r="AA169" s="479"/>
      <c r="AC169" s="489"/>
      <c r="AD169" s="490"/>
      <c r="AE169" s="491"/>
      <c r="AF169" s="479"/>
    </row>
    <row r="170" spans="2:32" s="478" customFormat="1" ht="12.75">
      <c r="B170" s="699"/>
      <c r="C170" s="701"/>
      <c r="D170" s="703"/>
      <c r="E170" s="705"/>
      <c r="F170" s="706"/>
      <c r="G170" s="708"/>
      <c r="H170" s="476" t="s">
        <v>217</v>
      </c>
      <c r="I170" s="518"/>
      <c r="J170" s="477">
        <f t="shared" si="4"/>
        <v>0</v>
      </c>
      <c r="K170" s="432">
        <f>'Custo da Mão de Obra '!$E$14*(1-$O$5)</f>
        <v>40.00335227272728</v>
      </c>
      <c r="L170" s="693"/>
      <c r="M170" s="694"/>
      <c r="N170" s="693"/>
      <c r="O170" s="696"/>
      <c r="P170" s="692"/>
      <c r="Q170" s="698"/>
      <c r="R170" s="692"/>
      <c r="T170" s="479"/>
      <c r="U170" s="480"/>
      <c r="V170" s="481"/>
      <c r="W170" s="487"/>
      <c r="X170" s="493"/>
      <c r="Y170" s="484"/>
      <c r="Z170" s="479"/>
      <c r="AA170" s="479"/>
      <c r="AC170" s="489"/>
      <c r="AD170" s="490"/>
      <c r="AE170" s="491"/>
      <c r="AF170" s="479"/>
    </row>
    <row r="171" spans="2:32" s="478" customFormat="1" ht="12.75">
      <c r="B171" s="699"/>
      <c r="C171" s="701"/>
      <c r="D171" s="704"/>
      <c r="E171" s="705"/>
      <c r="F171" s="706"/>
      <c r="G171" s="709"/>
      <c r="H171" s="476" t="s">
        <v>222</v>
      </c>
      <c r="I171" s="518"/>
      <c r="J171" s="477">
        <f t="shared" si="4"/>
        <v>0</v>
      </c>
      <c r="K171" s="432">
        <f>'Custo da Mão de Obra '!$E$15*(1-$O$5)</f>
        <v>19.333522727272726</v>
      </c>
      <c r="L171" s="693"/>
      <c r="M171" s="694"/>
      <c r="N171" s="693"/>
      <c r="O171" s="697"/>
      <c r="P171" s="692"/>
      <c r="Q171" s="698"/>
      <c r="R171" s="692"/>
      <c r="T171" s="479"/>
      <c r="U171" s="480"/>
      <c r="V171" s="481"/>
      <c r="W171" s="487"/>
      <c r="X171" s="493"/>
      <c r="Y171" s="484"/>
      <c r="Z171" s="479"/>
      <c r="AA171" s="479"/>
      <c r="AC171" s="489"/>
      <c r="AD171" s="490"/>
      <c r="AE171" s="491"/>
      <c r="AF171" s="479"/>
    </row>
    <row r="172" spans="2:32" s="478" customFormat="1" ht="12.75">
      <c r="B172" s="699">
        <v>41</v>
      </c>
      <c r="C172" s="700" t="s">
        <v>446</v>
      </c>
      <c r="D172" s="702"/>
      <c r="E172" s="705">
        <f>$I$5*D172</f>
        <v>0</v>
      </c>
      <c r="F172" s="706">
        <f>IF(D172&lt;&gt;0,D172*$I$5,E172)</f>
        <v>0</v>
      </c>
      <c r="G172" s="707">
        <f>F172*(1+$L$5)</f>
        <v>0</v>
      </c>
      <c r="H172" s="476" t="s">
        <v>205</v>
      </c>
      <c r="I172" s="518"/>
      <c r="J172" s="477">
        <f t="shared" si="4"/>
        <v>0</v>
      </c>
      <c r="K172" s="432">
        <f>'Custo da Mão de Obra '!$E$12*(1-$O$5)</f>
        <v>90.64420454545456</v>
      </c>
      <c r="L172" s="693">
        <f>SUM(J172*K172,J173*K173,J174*K174,J175*K175)</f>
        <v>32.31280303030303</v>
      </c>
      <c r="M172" s="694">
        <v>1</v>
      </c>
      <c r="N172" s="693">
        <f>M172*L172</f>
        <v>32.31280303030303</v>
      </c>
      <c r="O172" s="695">
        <f>N172*(1+$R$5)</f>
        <v>40.43301043181818</v>
      </c>
      <c r="P172" s="692">
        <f>F172+N172</f>
        <v>32.31280303030303</v>
      </c>
      <c r="Q172" s="692">
        <f>O172+G172</f>
        <v>40.43301043181818</v>
      </c>
      <c r="R172" s="692">
        <f>Q172*(1+$U$5)</f>
        <v>43.44526970898864</v>
      </c>
      <c r="T172" s="479"/>
      <c r="U172" s="480"/>
      <c r="V172" s="481"/>
      <c r="W172" s="487"/>
      <c r="X172" s="493"/>
      <c r="Y172" s="484"/>
      <c r="Z172" s="479"/>
      <c r="AA172" s="479"/>
      <c r="AC172" s="489"/>
      <c r="AD172" s="490"/>
      <c r="AE172" s="491"/>
      <c r="AF172" s="479"/>
    </row>
    <row r="173" spans="2:32" s="478" customFormat="1" ht="12.75">
      <c r="B173" s="699"/>
      <c r="C173" s="701"/>
      <c r="D173" s="703"/>
      <c r="E173" s="705"/>
      <c r="F173" s="706"/>
      <c r="G173" s="708"/>
      <c r="H173" s="476" t="s">
        <v>184</v>
      </c>
      <c r="I173" s="518">
        <v>40</v>
      </c>
      <c r="J173" s="477">
        <f t="shared" si="4"/>
        <v>0.6666666666666666</v>
      </c>
      <c r="K173" s="432">
        <f>'Custo da Mão de Obra '!$E$13*(1-$O$5)</f>
        <v>48.469204545454545</v>
      </c>
      <c r="L173" s="693"/>
      <c r="M173" s="694"/>
      <c r="N173" s="693"/>
      <c r="O173" s="696"/>
      <c r="P173" s="692"/>
      <c r="Q173" s="698"/>
      <c r="R173" s="692"/>
      <c r="T173" s="479"/>
      <c r="U173" s="480"/>
      <c r="V173" s="481"/>
      <c r="W173" s="487"/>
      <c r="X173" s="493"/>
      <c r="Y173" s="484"/>
      <c r="Z173" s="479"/>
      <c r="AA173" s="479"/>
      <c r="AC173" s="489"/>
      <c r="AD173" s="490"/>
      <c r="AE173" s="491"/>
      <c r="AF173" s="479"/>
    </row>
    <row r="174" spans="2:32" s="478" customFormat="1" ht="12.75">
      <c r="B174" s="699"/>
      <c r="C174" s="701"/>
      <c r="D174" s="703"/>
      <c r="E174" s="705"/>
      <c r="F174" s="706"/>
      <c r="G174" s="708"/>
      <c r="H174" s="476" t="s">
        <v>217</v>
      </c>
      <c r="I174" s="518"/>
      <c r="J174" s="477">
        <f t="shared" si="4"/>
        <v>0</v>
      </c>
      <c r="K174" s="432">
        <f>'Custo da Mão de Obra '!$E$14*(1-$O$5)</f>
        <v>40.00335227272728</v>
      </c>
      <c r="L174" s="693"/>
      <c r="M174" s="694"/>
      <c r="N174" s="693"/>
      <c r="O174" s="696"/>
      <c r="P174" s="692"/>
      <c r="Q174" s="698"/>
      <c r="R174" s="692"/>
      <c r="T174" s="479"/>
      <c r="U174" s="480"/>
      <c r="V174" s="481"/>
      <c r="W174" s="487"/>
      <c r="X174" s="493"/>
      <c r="Y174" s="484"/>
      <c r="Z174" s="479"/>
      <c r="AA174" s="479"/>
      <c r="AC174" s="489"/>
      <c r="AD174" s="490"/>
      <c r="AE174" s="491"/>
      <c r="AF174" s="479"/>
    </row>
    <row r="175" spans="2:32" s="478" customFormat="1" ht="12.75">
      <c r="B175" s="699"/>
      <c r="C175" s="701"/>
      <c r="D175" s="704"/>
      <c r="E175" s="705"/>
      <c r="F175" s="706"/>
      <c r="G175" s="709"/>
      <c r="H175" s="476" t="s">
        <v>222</v>
      </c>
      <c r="I175" s="518"/>
      <c r="J175" s="477">
        <f t="shared" si="4"/>
        <v>0</v>
      </c>
      <c r="K175" s="432">
        <f>'Custo da Mão de Obra '!$E$15*(1-$O$5)</f>
        <v>19.333522727272726</v>
      </c>
      <c r="L175" s="693"/>
      <c r="M175" s="694"/>
      <c r="N175" s="693"/>
      <c r="O175" s="697"/>
      <c r="P175" s="692"/>
      <c r="Q175" s="698"/>
      <c r="R175" s="692"/>
      <c r="T175" s="479"/>
      <c r="U175" s="480"/>
      <c r="V175" s="481"/>
      <c r="W175" s="487"/>
      <c r="X175" s="493"/>
      <c r="Y175" s="484"/>
      <c r="Z175" s="479"/>
      <c r="AA175" s="479"/>
      <c r="AC175" s="489"/>
      <c r="AD175" s="490"/>
      <c r="AE175" s="491"/>
      <c r="AF175" s="479"/>
    </row>
    <row r="176" spans="2:32" s="478" customFormat="1" ht="12.75">
      <c r="B176" s="699">
        <v>42</v>
      </c>
      <c r="C176" s="700" t="s">
        <v>454</v>
      </c>
      <c r="D176" s="702"/>
      <c r="E176" s="705">
        <f>$I$5*D176</f>
        <v>0</v>
      </c>
      <c r="F176" s="706">
        <f>IF(D176&lt;&gt;0,D176*$I$5,E176)</f>
        <v>0</v>
      </c>
      <c r="G176" s="707">
        <f>F176*(1+$L$5)</f>
        <v>0</v>
      </c>
      <c r="H176" s="476" t="s">
        <v>205</v>
      </c>
      <c r="I176" s="518"/>
      <c r="J176" s="477">
        <f t="shared" si="4"/>
        <v>0</v>
      </c>
      <c r="K176" s="432">
        <f>'Custo da Mão de Obra '!$E$12*(1-$O$5)</f>
        <v>90.64420454545456</v>
      </c>
      <c r="L176" s="693">
        <f>SUM(J176*K176,J177*K177,J178*K178,J179*K179)</f>
        <v>32.31280303030303</v>
      </c>
      <c r="M176" s="694">
        <v>1</v>
      </c>
      <c r="N176" s="693">
        <f>M176*L176</f>
        <v>32.31280303030303</v>
      </c>
      <c r="O176" s="695">
        <f>N176*(1+$R$5)</f>
        <v>40.43301043181818</v>
      </c>
      <c r="P176" s="692">
        <f>F176+N176</f>
        <v>32.31280303030303</v>
      </c>
      <c r="Q176" s="692">
        <f>O176+G176</f>
        <v>40.43301043181818</v>
      </c>
      <c r="R176" s="692">
        <f>Q176*(1+$U$5)</f>
        <v>43.44526970898864</v>
      </c>
      <c r="T176" s="479"/>
      <c r="U176" s="480"/>
      <c r="V176" s="481"/>
      <c r="W176" s="487"/>
      <c r="X176" s="493"/>
      <c r="Y176" s="484"/>
      <c r="Z176" s="479"/>
      <c r="AA176" s="479"/>
      <c r="AC176" s="489"/>
      <c r="AD176" s="490"/>
      <c r="AE176" s="491"/>
      <c r="AF176" s="479"/>
    </row>
    <row r="177" spans="2:32" s="478" customFormat="1" ht="12.75">
      <c r="B177" s="699"/>
      <c r="C177" s="701"/>
      <c r="D177" s="703"/>
      <c r="E177" s="705"/>
      <c r="F177" s="706"/>
      <c r="G177" s="708"/>
      <c r="H177" s="476" t="s">
        <v>184</v>
      </c>
      <c r="I177" s="518">
        <v>40</v>
      </c>
      <c r="J177" s="477">
        <f t="shared" si="4"/>
        <v>0.6666666666666666</v>
      </c>
      <c r="K177" s="432">
        <f>'Custo da Mão de Obra '!$E$13*(1-$O$5)</f>
        <v>48.469204545454545</v>
      </c>
      <c r="L177" s="693"/>
      <c r="M177" s="694"/>
      <c r="N177" s="693"/>
      <c r="O177" s="696"/>
      <c r="P177" s="692"/>
      <c r="Q177" s="698"/>
      <c r="R177" s="692"/>
      <c r="T177" s="479"/>
      <c r="U177" s="480"/>
      <c r="V177" s="481"/>
      <c r="W177" s="487"/>
      <c r="X177" s="493"/>
      <c r="Y177" s="484"/>
      <c r="Z177" s="479"/>
      <c r="AA177" s="479"/>
      <c r="AC177" s="489"/>
      <c r="AD177" s="490"/>
      <c r="AE177" s="491"/>
      <c r="AF177" s="479"/>
    </row>
    <row r="178" spans="2:32" s="478" customFormat="1" ht="12.75">
      <c r="B178" s="699"/>
      <c r="C178" s="701"/>
      <c r="D178" s="703"/>
      <c r="E178" s="705"/>
      <c r="F178" s="706"/>
      <c r="G178" s="708"/>
      <c r="H178" s="476" t="s">
        <v>217</v>
      </c>
      <c r="I178" s="518"/>
      <c r="J178" s="477">
        <f t="shared" si="4"/>
        <v>0</v>
      </c>
      <c r="K178" s="432">
        <f>'Custo da Mão de Obra '!$E$14*(1-$O$5)</f>
        <v>40.00335227272728</v>
      </c>
      <c r="L178" s="693"/>
      <c r="M178" s="694"/>
      <c r="N178" s="693"/>
      <c r="O178" s="696"/>
      <c r="P178" s="692"/>
      <c r="Q178" s="698"/>
      <c r="R178" s="692"/>
      <c r="T178" s="479"/>
      <c r="U178" s="480"/>
      <c r="V178" s="481"/>
      <c r="W178" s="487"/>
      <c r="X178" s="493"/>
      <c r="Y178" s="484"/>
      <c r="Z178" s="479"/>
      <c r="AA178" s="479"/>
      <c r="AC178" s="489"/>
      <c r="AD178" s="490"/>
      <c r="AE178" s="491"/>
      <c r="AF178" s="479"/>
    </row>
    <row r="179" spans="2:32" s="478" customFormat="1" ht="12.75">
      <c r="B179" s="699"/>
      <c r="C179" s="701"/>
      <c r="D179" s="704"/>
      <c r="E179" s="705"/>
      <c r="F179" s="706"/>
      <c r="G179" s="709"/>
      <c r="H179" s="476" t="s">
        <v>222</v>
      </c>
      <c r="I179" s="518"/>
      <c r="J179" s="477">
        <f t="shared" si="4"/>
        <v>0</v>
      </c>
      <c r="K179" s="432">
        <f>'Custo da Mão de Obra '!$E$15*(1-$O$5)</f>
        <v>19.333522727272726</v>
      </c>
      <c r="L179" s="693"/>
      <c r="M179" s="694"/>
      <c r="N179" s="693"/>
      <c r="O179" s="697"/>
      <c r="P179" s="692"/>
      <c r="Q179" s="698"/>
      <c r="R179" s="692"/>
      <c r="T179" s="479"/>
      <c r="U179" s="480"/>
      <c r="V179" s="481"/>
      <c r="W179" s="487"/>
      <c r="X179" s="493"/>
      <c r="Y179" s="484"/>
      <c r="Z179" s="479"/>
      <c r="AA179" s="479"/>
      <c r="AC179" s="489"/>
      <c r="AD179" s="490"/>
      <c r="AE179" s="491"/>
      <c r="AF179" s="479"/>
    </row>
    <row r="180" spans="2:28" s="415" customFormat="1" ht="12.75">
      <c r="B180" s="438"/>
      <c r="C180" s="494"/>
      <c r="D180" s="438"/>
      <c r="E180" s="438"/>
      <c r="F180" s="438"/>
      <c r="G180" s="495"/>
      <c r="H180" s="496"/>
      <c r="I180" s="497"/>
      <c r="J180" s="498"/>
      <c r="L180" s="436"/>
      <c r="M180" s="467"/>
      <c r="N180" s="468"/>
      <c r="O180" s="499"/>
      <c r="P180" s="500"/>
      <c r="Q180" s="440"/>
      <c r="R180" s="440"/>
      <c r="S180" s="501"/>
      <c r="T180" s="501"/>
      <c r="U180" s="501"/>
      <c r="Y180" s="438"/>
      <c r="Z180" s="436"/>
      <c r="AA180" s="495"/>
      <c r="AB180" s="440"/>
    </row>
    <row r="181" spans="2:28" s="415" customFormat="1" ht="22.5" customHeight="1" hidden="1">
      <c r="B181" s="438"/>
      <c r="C181" s="494"/>
      <c r="D181" s="502">
        <v>0</v>
      </c>
      <c r="E181" s="438"/>
      <c r="F181" s="438"/>
      <c r="G181" s="495"/>
      <c r="H181" s="496"/>
      <c r="I181" s="497"/>
      <c r="J181" s="498"/>
      <c r="L181" s="436"/>
      <c r="M181" s="467"/>
      <c r="N181" s="468"/>
      <c r="O181" s="499"/>
      <c r="P181" s="500"/>
      <c r="Q181" s="440"/>
      <c r="R181" s="440"/>
      <c r="S181" s="501"/>
      <c r="T181" s="501"/>
      <c r="U181" s="501"/>
      <c r="Y181" s="438"/>
      <c r="Z181" s="436"/>
      <c r="AA181" s="495"/>
      <c r="AB181" s="440"/>
    </row>
    <row r="182" spans="2:32" ht="58.5" customHeight="1">
      <c r="B182" s="418" t="s">
        <v>154</v>
      </c>
      <c r="C182" s="418" t="s">
        <v>492</v>
      </c>
      <c r="D182" s="422" t="s">
        <v>224</v>
      </c>
      <c r="E182" s="422" t="s">
        <v>225</v>
      </c>
      <c r="F182" s="423" t="s">
        <v>232</v>
      </c>
      <c r="G182" s="423" t="s">
        <v>419</v>
      </c>
      <c r="H182" s="473" t="s">
        <v>181</v>
      </c>
      <c r="I182" s="454" t="s">
        <v>223</v>
      </c>
      <c r="J182" s="454" t="s">
        <v>221</v>
      </c>
      <c r="K182" s="474" t="s">
        <v>226</v>
      </c>
      <c r="L182" s="454" t="s">
        <v>229</v>
      </c>
      <c r="M182" s="475" t="s">
        <v>253</v>
      </c>
      <c r="N182" s="475" t="s">
        <v>231</v>
      </c>
      <c r="O182" s="454" t="s">
        <v>420</v>
      </c>
      <c r="P182" s="455" t="s">
        <v>424</v>
      </c>
      <c r="Q182" s="455" t="s">
        <v>277</v>
      </c>
      <c r="R182" s="455" t="s">
        <v>435</v>
      </c>
      <c r="Z182" s="415"/>
      <c r="AA182" s="415"/>
      <c r="AB182" s="415"/>
      <c r="AC182" s="407"/>
      <c r="AD182" s="407"/>
      <c r="AE182" s="458"/>
      <c r="AF182" s="415"/>
    </row>
    <row r="183" spans="2:32" s="478" customFormat="1" ht="12.75">
      <c r="B183" s="699">
        <v>43</v>
      </c>
      <c r="C183" s="700" t="s">
        <v>499</v>
      </c>
      <c r="D183" s="702"/>
      <c r="E183" s="705">
        <f>$I$5*D183</f>
        <v>0</v>
      </c>
      <c r="F183" s="706">
        <f>IF(D183&lt;&gt;0,D183*$I$5,E183)</f>
        <v>0</v>
      </c>
      <c r="G183" s="707">
        <f>F183*(1+$L$5)</f>
        <v>0</v>
      </c>
      <c r="H183" s="476" t="s">
        <v>205</v>
      </c>
      <c r="I183" s="518"/>
      <c r="J183" s="477">
        <f>I183/60</f>
        <v>0</v>
      </c>
      <c r="K183" s="432">
        <f>'Custo da Mão de Obra '!$E$12*(1-$O$5)</f>
        <v>90.64420454545456</v>
      </c>
      <c r="L183" s="693">
        <f>SUM(J183*K183,J184*K184,J185*K185,J186*K186)</f>
        <v>3.2222537878787874</v>
      </c>
      <c r="M183" s="694">
        <v>1</v>
      </c>
      <c r="N183" s="693">
        <f>M183*L183</f>
        <v>3.2222537878787874</v>
      </c>
      <c r="O183" s="695">
        <f>N183*(1+$R$5)</f>
        <v>4.032006164772727</v>
      </c>
      <c r="P183" s="692">
        <f>F183+N183</f>
        <v>3.2222537878787874</v>
      </c>
      <c r="Q183" s="692">
        <f>O183+G183</f>
        <v>4.032006164772727</v>
      </c>
      <c r="R183" s="692">
        <f>Q183*(1+$U$5)</f>
        <v>4.332390624048295</v>
      </c>
      <c r="T183" s="479"/>
      <c r="U183" s="480"/>
      <c r="V183" s="481"/>
      <c r="W183" s="487"/>
      <c r="X183" s="493"/>
      <c r="Y183" s="484"/>
      <c r="Z183" s="479"/>
      <c r="AA183" s="479"/>
      <c r="AC183" s="489"/>
      <c r="AD183" s="490"/>
      <c r="AE183" s="491"/>
      <c r="AF183" s="479"/>
    </row>
    <row r="184" spans="2:32" s="478" customFormat="1" ht="12.75">
      <c r="B184" s="699"/>
      <c r="C184" s="701"/>
      <c r="D184" s="703"/>
      <c r="E184" s="705"/>
      <c r="F184" s="706"/>
      <c r="G184" s="708"/>
      <c r="H184" s="476" t="s">
        <v>184</v>
      </c>
      <c r="I184" s="518"/>
      <c r="J184" s="477">
        <f>I184/60</f>
        <v>0</v>
      </c>
      <c r="K184" s="432">
        <f>'Custo da Mão de Obra '!$E$13*(1-$O$5)</f>
        <v>48.469204545454545</v>
      </c>
      <c r="L184" s="693"/>
      <c r="M184" s="694"/>
      <c r="N184" s="693"/>
      <c r="O184" s="696"/>
      <c r="P184" s="692"/>
      <c r="Q184" s="698"/>
      <c r="R184" s="692"/>
      <c r="T184" s="479"/>
      <c r="U184" s="480"/>
      <c r="V184" s="481"/>
      <c r="W184" s="487"/>
      <c r="X184" s="493"/>
      <c r="Y184" s="484"/>
      <c r="Z184" s="479"/>
      <c r="AA184" s="479"/>
      <c r="AC184" s="489"/>
      <c r="AD184" s="490"/>
      <c r="AE184" s="491"/>
      <c r="AF184" s="479"/>
    </row>
    <row r="185" spans="2:32" s="478" customFormat="1" ht="12.75">
      <c r="B185" s="699"/>
      <c r="C185" s="701"/>
      <c r="D185" s="703"/>
      <c r="E185" s="705"/>
      <c r="F185" s="706"/>
      <c r="G185" s="708"/>
      <c r="H185" s="476" t="s">
        <v>217</v>
      </c>
      <c r="I185" s="518"/>
      <c r="J185" s="477">
        <f>I185/60</f>
        <v>0</v>
      </c>
      <c r="K185" s="432">
        <f>'Custo da Mão de Obra '!$E$14*(1-$O$5)</f>
        <v>40.00335227272728</v>
      </c>
      <c r="L185" s="693"/>
      <c r="M185" s="694"/>
      <c r="N185" s="693"/>
      <c r="O185" s="696"/>
      <c r="P185" s="692"/>
      <c r="Q185" s="698"/>
      <c r="R185" s="692"/>
      <c r="T185" s="479"/>
      <c r="U185" s="480"/>
      <c r="V185" s="481"/>
      <c r="W185" s="487"/>
      <c r="X185" s="493"/>
      <c r="Y185" s="484"/>
      <c r="Z185" s="479"/>
      <c r="AA185" s="479"/>
      <c r="AC185" s="489"/>
      <c r="AD185" s="490"/>
      <c r="AE185" s="491"/>
      <c r="AF185" s="479"/>
    </row>
    <row r="186" spans="2:32" s="478" customFormat="1" ht="12.75">
      <c r="B186" s="699"/>
      <c r="C186" s="701"/>
      <c r="D186" s="704"/>
      <c r="E186" s="705"/>
      <c r="F186" s="706"/>
      <c r="G186" s="709"/>
      <c r="H186" s="476" t="s">
        <v>222</v>
      </c>
      <c r="I186" s="518">
        <v>10</v>
      </c>
      <c r="J186" s="477">
        <f>I186/60</f>
        <v>0.16666666666666666</v>
      </c>
      <c r="K186" s="432">
        <f>'Custo da Mão de Obra '!$E$15*(1-$O$5)</f>
        <v>19.333522727272726</v>
      </c>
      <c r="L186" s="693"/>
      <c r="M186" s="694"/>
      <c r="N186" s="693"/>
      <c r="O186" s="697"/>
      <c r="P186" s="692"/>
      <c r="Q186" s="698"/>
      <c r="R186" s="692"/>
      <c r="T186" s="479"/>
      <c r="U186" s="480"/>
      <c r="V186" s="481"/>
      <c r="W186" s="487"/>
      <c r="X186" s="493"/>
      <c r="Y186" s="484"/>
      <c r="Z186" s="479"/>
      <c r="AA186" s="479"/>
      <c r="AC186" s="489"/>
      <c r="AD186" s="490"/>
      <c r="AE186" s="491"/>
      <c r="AF186" s="479"/>
    </row>
    <row r="187" spans="9:11" ht="12.75">
      <c r="I187" s="302"/>
      <c r="J187" s="302"/>
      <c r="K187" s="302"/>
    </row>
    <row r="188" spans="2:6" ht="51">
      <c r="B188" s="503" t="s">
        <v>154</v>
      </c>
      <c r="C188" s="421" t="s">
        <v>493</v>
      </c>
      <c r="D188" s="504" t="s">
        <v>254</v>
      </c>
      <c r="E188" s="505" t="s">
        <v>277</v>
      </c>
      <c r="F188" s="455" t="s">
        <v>351</v>
      </c>
    </row>
    <row r="189" spans="2:6" ht="16.5">
      <c r="B189" s="507">
        <v>44</v>
      </c>
      <c r="C189" s="508" t="s">
        <v>495</v>
      </c>
      <c r="D189" s="520">
        <v>1.4</v>
      </c>
      <c r="E189" s="509">
        <f>D189*(1+$R$5)</f>
        <v>1.75182</v>
      </c>
      <c r="F189" s="509">
        <f>E189*1+($U$5)</f>
        <v>1.82632</v>
      </c>
    </row>
    <row r="190" spans="2:6" ht="16.5">
      <c r="B190" s="507">
        <v>45</v>
      </c>
      <c r="C190" s="508" t="s">
        <v>496</v>
      </c>
      <c r="D190" s="520"/>
      <c r="E190" s="509"/>
      <c r="F190" s="509"/>
    </row>
    <row r="191" spans="2:6" ht="16.5">
      <c r="B191" s="507">
        <v>46</v>
      </c>
      <c r="C191" s="508" t="s">
        <v>494</v>
      </c>
      <c r="D191" s="520">
        <v>1.4</v>
      </c>
      <c r="E191" s="509">
        <f>D191*(1+$R$5)</f>
        <v>1.75182</v>
      </c>
      <c r="F191" s="509">
        <f>E191*1+($U$5)</f>
        <v>1.82632</v>
      </c>
    </row>
    <row r="192" spans="2:6" ht="16.5">
      <c r="B192" s="507">
        <v>47</v>
      </c>
      <c r="C192" s="508" t="s">
        <v>497</v>
      </c>
      <c r="D192" s="520">
        <v>1.4</v>
      </c>
      <c r="E192" s="509">
        <f>D192*(1+$R$5)</f>
        <v>1.75182</v>
      </c>
      <c r="F192" s="509">
        <f>E192*1+($U$5)</f>
        <v>1.82632</v>
      </c>
    </row>
    <row r="193" spans="9:11" ht="12.75">
      <c r="I193" s="302"/>
      <c r="J193" s="302"/>
      <c r="K193" s="302"/>
    </row>
    <row r="194" spans="2:12" ht="51">
      <c r="B194" s="503" t="s">
        <v>154</v>
      </c>
      <c r="C194" s="421" t="s">
        <v>434</v>
      </c>
      <c r="D194" s="421" t="s">
        <v>491</v>
      </c>
      <c r="E194" s="504" t="s">
        <v>254</v>
      </c>
      <c r="F194" s="505" t="s">
        <v>277</v>
      </c>
      <c r="G194" s="505" t="s">
        <v>351</v>
      </c>
      <c r="I194" s="302"/>
      <c r="J194" s="506"/>
      <c r="L194" s="412"/>
    </row>
    <row r="195" spans="2:12" ht="33">
      <c r="B195" s="507">
        <v>48</v>
      </c>
      <c r="C195" s="508" t="s">
        <v>498</v>
      </c>
      <c r="D195" s="521"/>
      <c r="E195" s="520"/>
      <c r="F195" s="509"/>
      <c r="G195" s="509"/>
      <c r="I195" s="302"/>
      <c r="J195" s="506"/>
      <c r="L195" s="412"/>
    </row>
    <row r="196" spans="2:12" ht="16.5">
      <c r="B196" s="507"/>
      <c r="C196" s="508"/>
      <c r="D196" s="521"/>
      <c r="E196" s="520"/>
      <c r="F196" s="509"/>
      <c r="G196" s="509"/>
      <c r="I196" s="302"/>
      <c r="J196" s="506"/>
      <c r="L196" s="412"/>
    </row>
  </sheetData>
  <sheetProtection password="CECE" sheet="1" objects="1" scenarios="1" selectLockedCells="1"/>
  <mergeCells count="656">
    <mergeCell ref="C64:C67"/>
    <mergeCell ref="C68:C71"/>
    <mergeCell ref="G56:G59"/>
    <mergeCell ref="C144:C147"/>
    <mergeCell ref="D140:D143"/>
    <mergeCell ref="D144:D147"/>
    <mergeCell ref="E68:E71"/>
    <mergeCell ref="F68:F71"/>
    <mergeCell ref="D56:D59"/>
    <mergeCell ref="E56:E59"/>
    <mergeCell ref="C152:C155"/>
    <mergeCell ref="D152:D155"/>
    <mergeCell ref="J80:J83"/>
    <mergeCell ref="D48:D51"/>
    <mergeCell ref="E48:E51"/>
    <mergeCell ref="F48:F51"/>
    <mergeCell ref="G48:G51"/>
    <mergeCell ref="I48:I51"/>
    <mergeCell ref="J48:J51"/>
    <mergeCell ref="D68:D71"/>
    <mergeCell ref="P56:P59"/>
    <mergeCell ref="Q56:Q59"/>
    <mergeCell ref="O48:O51"/>
    <mergeCell ref="P48:P51"/>
    <mergeCell ref="Q48:Q51"/>
    <mergeCell ref="R48:R51"/>
    <mergeCell ref="O56:O59"/>
    <mergeCell ref="R52:R55"/>
    <mergeCell ref="R56:R59"/>
    <mergeCell ref="F56:F59"/>
    <mergeCell ref="C48:C51"/>
    <mergeCell ref="C56:C59"/>
    <mergeCell ref="H56:H59"/>
    <mergeCell ref="E52:E55"/>
    <mergeCell ref="F52:F55"/>
    <mergeCell ref="C52:C55"/>
    <mergeCell ref="G52:G55"/>
    <mergeCell ref="C60:C63"/>
    <mergeCell ref="O60:O63"/>
    <mergeCell ref="P60:P63"/>
    <mergeCell ref="D60:D63"/>
    <mergeCell ref="E60:E63"/>
    <mergeCell ref="J60:J63"/>
    <mergeCell ref="H64:H67"/>
    <mergeCell ref="O64:O67"/>
    <mergeCell ref="P64:P67"/>
    <mergeCell ref="F60:F63"/>
    <mergeCell ref="G60:G63"/>
    <mergeCell ref="H60:H63"/>
    <mergeCell ref="F64:F67"/>
    <mergeCell ref="I68:I71"/>
    <mergeCell ref="J68:J71"/>
    <mergeCell ref="I94:I97"/>
    <mergeCell ref="T60:T63"/>
    <mergeCell ref="G68:G71"/>
    <mergeCell ref="H68:H71"/>
    <mergeCell ref="O68:O71"/>
    <mergeCell ref="P68:P71"/>
    <mergeCell ref="Q68:Q71"/>
    <mergeCell ref="G64:G67"/>
    <mergeCell ref="S76:S79"/>
    <mergeCell ref="P140:P143"/>
    <mergeCell ref="Q140:Q143"/>
    <mergeCell ref="R140:R143"/>
    <mergeCell ref="P132:P135"/>
    <mergeCell ref="Q64:Q67"/>
    <mergeCell ref="Q132:Q135"/>
    <mergeCell ref="R132:R135"/>
    <mergeCell ref="R136:R139"/>
    <mergeCell ref="P128:P131"/>
    <mergeCell ref="U64:U67"/>
    <mergeCell ref="R68:R71"/>
    <mergeCell ref="S68:S71"/>
    <mergeCell ref="R64:R67"/>
    <mergeCell ref="S64:S67"/>
    <mergeCell ref="T64:T67"/>
    <mergeCell ref="I52:I55"/>
    <mergeCell ref="J52:J55"/>
    <mergeCell ref="I56:I59"/>
    <mergeCell ref="J56:J59"/>
    <mergeCell ref="I60:I63"/>
    <mergeCell ref="G120:G123"/>
    <mergeCell ref="H94:H97"/>
    <mergeCell ref="G90:G93"/>
    <mergeCell ref="I64:I67"/>
    <mergeCell ref="J64:J67"/>
    <mergeCell ref="O152:O155"/>
    <mergeCell ref="P152:P155"/>
    <mergeCell ref="Q152:Q155"/>
    <mergeCell ref="R152:R155"/>
    <mergeCell ref="G152:G155"/>
    <mergeCell ref="O144:O147"/>
    <mergeCell ref="P144:P147"/>
    <mergeCell ref="Q144:Q147"/>
    <mergeCell ref="R144:R147"/>
    <mergeCell ref="M148:M151"/>
    <mergeCell ref="B152:B155"/>
    <mergeCell ref="B94:B97"/>
    <mergeCell ref="B98:B101"/>
    <mergeCell ref="C168:C171"/>
    <mergeCell ref="D168:D171"/>
    <mergeCell ref="E168:E171"/>
    <mergeCell ref="E124:E127"/>
    <mergeCell ref="E116:E119"/>
    <mergeCell ref="E112:E115"/>
    <mergeCell ref="D124:D127"/>
    <mergeCell ref="B56:B59"/>
    <mergeCell ref="B60:B63"/>
    <mergeCell ref="B64:B67"/>
    <mergeCell ref="B68:B71"/>
    <mergeCell ref="B140:B143"/>
    <mergeCell ref="B144:B147"/>
    <mergeCell ref="B116:B119"/>
    <mergeCell ref="B128:B131"/>
    <mergeCell ref="B84:B87"/>
    <mergeCell ref="B80:B83"/>
    <mergeCell ref="M140:M143"/>
    <mergeCell ref="N140:N143"/>
    <mergeCell ref="L144:L147"/>
    <mergeCell ref="M144:M147"/>
    <mergeCell ref="N144:N147"/>
    <mergeCell ref="L132:L135"/>
    <mergeCell ref="M132:M135"/>
    <mergeCell ref="G128:G131"/>
    <mergeCell ref="G124:G127"/>
    <mergeCell ref="N136:N139"/>
    <mergeCell ref="G132:G135"/>
    <mergeCell ref="O132:O135"/>
    <mergeCell ref="N132:N135"/>
    <mergeCell ref="L136:L139"/>
    <mergeCell ref="M136:M139"/>
    <mergeCell ref="O124:O127"/>
    <mergeCell ref="L124:L127"/>
    <mergeCell ref="N120:N123"/>
    <mergeCell ref="R128:R131"/>
    <mergeCell ref="O128:O131"/>
    <mergeCell ref="L128:L131"/>
    <mergeCell ref="M128:M131"/>
    <mergeCell ref="N128:N131"/>
    <mergeCell ref="O120:O123"/>
    <mergeCell ref="P120:P123"/>
    <mergeCell ref="Q120:Q123"/>
    <mergeCell ref="Q128:Q131"/>
    <mergeCell ref="O116:O119"/>
    <mergeCell ref="P124:P127"/>
    <mergeCell ref="Q124:Q127"/>
    <mergeCell ref="R124:R127"/>
    <mergeCell ref="M124:M127"/>
    <mergeCell ref="N124:N127"/>
    <mergeCell ref="R108:R111"/>
    <mergeCell ref="F112:F115"/>
    <mergeCell ref="G112:G115"/>
    <mergeCell ref="O112:O115"/>
    <mergeCell ref="P112:P115"/>
    <mergeCell ref="L120:L123"/>
    <mergeCell ref="M120:M123"/>
    <mergeCell ref="F116:F119"/>
    <mergeCell ref="G116:G119"/>
    <mergeCell ref="E108:E111"/>
    <mergeCell ref="F108:F111"/>
    <mergeCell ref="G108:G111"/>
    <mergeCell ref="O108:O111"/>
    <mergeCell ref="L116:L119"/>
    <mergeCell ref="M116:M119"/>
    <mergeCell ref="P108:P111"/>
    <mergeCell ref="Q108:Q111"/>
    <mergeCell ref="L108:L111"/>
    <mergeCell ref="M108:M111"/>
    <mergeCell ref="T98:T101"/>
    <mergeCell ref="U98:U101"/>
    <mergeCell ref="G104:G107"/>
    <mergeCell ref="O104:O107"/>
    <mergeCell ref="P104:P107"/>
    <mergeCell ref="Q104:Q107"/>
    <mergeCell ref="R104:R107"/>
    <mergeCell ref="L104:L107"/>
    <mergeCell ref="M104:M107"/>
    <mergeCell ref="D98:D101"/>
    <mergeCell ref="P94:P97"/>
    <mergeCell ref="Q94:Q97"/>
    <mergeCell ref="R94:R97"/>
    <mergeCell ref="S94:S97"/>
    <mergeCell ref="T94:T97"/>
    <mergeCell ref="I98:I101"/>
    <mergeCell ref="J98:J101"/>
    <mergeCell ref="O98:O101"/>
    <mergeCell ref="P98:P101"/>
    <mergeCell ref="E98:E101"/>
    <mergeCell ref="F98:F101"/>
    <mergeCell ref="G98:G101"/>
    <mergeCell ref="H98:H101"/>
    <mergeCell ref="B120:B123"/>
    <mergeCell ref="B124:B127"/>
    <mergeCell ref="C104:C107"/>
    <mergeCell ref="F120:F123"/>
    <mergeCell ref="E104:E107"/>
    <mergeCell ref="F104:F107"/>
    <mergeCell ref="B104:B107"/>
    <mergeCell ref="B108:B111"/>
    <mergeCell ref="B112:B115"/>
    <mergeCell ref="C108:C111"/>
    <mergeCell ref="C112:C115"/>
    <mergeCell ref="C116:C119"/>
    <mergeCell ref="D108:D111"/>
    <mergeCell ref="D112:D115"/>
    <mergeCell ref="D116:D119"/>
    <mergeCell ref="C132:C135"/>
    <mergeCell ref="C120:C123"/>
    <mergeCell ref="C124:C127"/>
    <mergeCell ref="C128:C131"/>
    <mergeCell ref="D128:D131"/>
    <mergeCell ref="F12:F15"/>
    <mergeCell ref="F16:F19"/>
    <mergeCell ref="F20:F23"/>
    <mergeCell ref="F24:F27"/>
    <mergeCell ref="F36:F39"/>
    <mergeCell ref="F40:F43"/>
    <mergeCell ref="E12:E15"/>
    <mergeCell ref="E16:E19"/>
    <mergeCell ref="E20:E23"/>
    <mergeCell ref="E24:E27"/>
    <mergeCell ref="E36:E39"/>
    <mergeCell ref="E40:E43"/>
    <mergeCell ref="B16:B19"/>
    <mergeCell ref="B20:B23"/>
    <mergeCell ref="C32:C35"/>
    <mergeCell ref="B32:B35"/>
    <mergeCell ref="D32:D35"/>
    <mergeCell ref="C12:C15"/>
    <mergeCell ref="C16:C19"/>
    <mergeCell ref="C20:C23"/>
    <mergeCell ref="B52:B55"/>
    <mergeCell ref="D12:D15"/>
    <mergeCell ref="D16:D19"/>
    <mergeCell ref="D20:D23"/>
    <mergeCell ref="D24:D27"/>
    <mergeCell ref="B48:B51"/>
    <mergeCell ref="B24:B27"/>
    <mergeCell ref="B36:B39"/>
    <mergeCell ref="B40:B43"/>
    <mergeCell ref="D40:D43"/>
    <mergeCell ref="E120:E123"/>
    <mergeCell ref="F136:F139"/>
    <mergeCell ref="F124:F127"/>
    <mergeCell ref="E128:E131"/>
    <mergeCell ref="E148:E151"/>
    <mergeCell ref="F128:F131"/>
    <mergeCell ref="F132:F135"/>
    <mergeCell ref="F140:F143"/>
    <mergeCell ref="F144:F147"/>
    <mergeCell ref="E164:E167"/>
    <mergeCell ref="E140:E143"/>
    <mergeCell ref="F152:F155"/>
    <mergeCell ref="E152:E155"/>
    <mergeCell ref="G168:G171"/>
    <mergeCell ref="N148:N151"/>
    <mergeCell ref="E144:E147"/>
    <mergeCell ref="L140:L143"/>
    <mergeCell ref="G140:G143"/>
    <mergeCell ref="G144:G147"/>
    <mergeCell ref="C164:C167"/>
    <mergeCell ref="F164:F167"/>
    <mergeCell ref="E132:E135"/>
    <mergeCell ref="R176:R179"/>
    <mergeCell ref="O148:O151"/>
    <mergeCell ref="D148:D151"/>
    <mergeCell ref="D160:D163"/>
    <mergeCell ref="E160:E163"/>
    <mergeCell ref="G164:G167"/>
    <mergeCell ref="L148:L151"/>
    <mergeCell ref="D64:D67"/>
    <mergeCell ref="L176:L179"/>
    <mergeCell ref="N176:N179"/>
    <mergeCell ref="G80:G83"/>
    <mergeCell ref="N104:N107"/>
    <mergeCell ref="N108:N111"/>
    <mergeCell ref="N112:N115"/>
    <mergeCell ref="N116:N119"/>
    <mergeCell ref="D164:D167"/>
    <mergeCell ref="G160:G163"/>
    <mergeCell ref="D36:D39"/>
    <mergeCell ref="D4:E4"/>
    <mergeCell ref="G12:G15"/>
    <mergeCell ref="D6:J6"/>
    <mergeCell ref="E80:E83"/>
    <mergeCell ref="C24:C27"/>
    <mergeCell ref="C36:C39"/>
    <mergeCell ref="C40:C43"/>
    <mergeCell ref="E32:E35"/>
    <mergeCell ref="F32:F35"/>
    <mergeCell ref="X28:X31"/>
    <mergeCell ref="X72:X75"/>
    <mergeCell ref="X84:X87"/>
    <mergeCell ref="V28:V31"/>
    <mergeCell ref="V44:V47"/>
    <mergeCell ref="H32:H35"/>
    <mergeCell ref="H80:H83"/>
    <mergeCell ref="I80:I83"/>
    <mergeCell ref="P32:P35"/>
    <mergeCell ref="U76:U79"/>
    <mergeCell ref="Y5:Y6"/>
    <mergeCell ref="T90:T93"/>
    <mergeCell ref="Q32:Q35"/>
    <mergeCell ref="J32:J35"/>
    <mergeCell ref="O72:O75"/>
    <mergeCell ref="F84:F87"/>
    <mergeCell ref="R84:R87"/>
    <mergeCell ref="V72:V75"/>
    <mergeCell ref="V76:V79"/>
    <mergeCell ref="V84:V87"/>
    <mergeCell ref="B160:B163"/>
    <mergeCell ref="C160:C163"/>
    <mergeCell ref="F160:F163"/>
    <mergeCell ref="B164:B167"/>
    <mergeCell ref="B172:B175"/>
    <mergeCell ref="C172:C175"/>
    <mergeCell ref="F168:F171"/>
    <mergeCell ref="B168:B171"/>
    <mergeCell ref="D172:D175"/>
    <mergeCell ref="E172:E175"/>
    <mergeCell ref="Q84:Q87"/>
    <mergeCell ref="H76:H79"/>
    <mergeCell ref="R76:R79"/>
    <mergeCell ref="R72:R75"/>
    <mergeCell ref="H72:H75"/>
    <mergeCell ref="I72:I75"/>
    <mergeCell ref="J72:J75"/>
    <mergeCell ref="H84:H87"/>
    <mergeCell ref="Q72:Q75"/>
    <mergeCell ref="Q76:Q79"/>
    <mergeCell ref="P176:P179"/>
    <mergeCell ref="Q176:Q179"/>
    <mergeCell ref="B176:B179"/>
    <mergeCell ref="C176:C179"/>
    <mergeCell ref="D176:D179"/>
    <mergeCell ref="E176:E179"/>
    <mergeCell ref="F176:F179"/>
    <mergeCell ref="G176:G179"/>
    <mergeCell ref="M176:M179"/>
    <mergeCell ref="O176:O179"/>
    <mergeCell ref="G72:G75"/>
    <mergeCell ref="I84:I87"/>
    <mergeCell ref="O80:O83"/>
    <mergeCell ref="P80:P83"/>
    <mergeCell ref="F80:F83"/>
    <mergeCell ref="F94:F97"/>
    <mergeCell ref="I76:I79"/>
    <mergeCell ref="G76:G79"/>
    <mergeCell ref="P148:P151"/>
    <mergeCell ref="Q148:Q151"/>
    <mergeCell ref="Q90:Q93"/>
    <mergeCell ref="O94:O97"/>
    <mergeCell ref="G94:G97"/>
    <mergeCell ref="Q98:Q101"/>
    <mergeCell ref="Q112:Q115"/>
    <mergeCell ref="O140:O143"/>
    <mergeCell ref="P116:P119"/>
    <mergeCell ref="Q116:Q119"/>
    <mergeCell ref="B148:B151"/>
    <mergeCell ref="C148:C151"/>
    <mergeCell ref="D84:D87"/>
    <mergeCell ref="E84:E87"/>
    <mergeCell ref="F90:F93"/>
    <mergeCell ref="G84:G87"/>
    <mergeCell ref="G136:G139"/>
    <mergeCell ref="C84:C87"/>
    <mergeCell ref="D132:D135"/>
    <mergeCell ref="C94:C97"/>
    <mergeCell ref="C140:C143"/>
    <mergeCell ref="E136:E139"/>
    <mergeCell ref="D120:D123"/>
    <mergeCell ref="B132:B135"/>
    <mergeCell ref="D104:D107"/>
    <mergeCell ref="C80:C83"/>
    <mergeCell ref="D80:D83"/>
    <mergeCell ref="D94:D97"/>
    <mergeCell ref="E94:E97"/>
    <mergeCell ref="C98:C101"/>
    <mergeCell ref="C72:C75"/>
    <mergeCell ref="B76:B79"/>
    <mergeCell ref="C76:C79"/>
    <mergeCell ref="D76:D79"/>
    <mergeCell ref="E76:E79"/>
    <mergeCell ref="F76:F79"/>
    <mergeCell ref="F72:F75"/>
    <mergeCell ref="D72:D75"/>
    <mergeCell ref="E72:E75"/>
    <mergeCell ref="Q60:Q63"/>
    <mergeCell ref="P84:P87"/>
    <mergeCell ref="B44:B47"/>
    <mergeCell ref="C44:C47"/>
    <mergeCell ref="D44:D47"/>
    <mergeCell ref="E44:E47"/>
    <mergeCell ref="F44:F47"/>
    <mergeCell ref="B72:B75"/>
    <mergeCell ref="D52:D55"/>
    <mergeCell ref="E64:E67"/>
    <mergeCell ref="P44:P47"/>
    <mergeCell ref="J44:J47"/>
    <mergeCell ref="J76:J79"/>
    <mergeCell ref="J90:J93"/>
    <mergeCell ref="O90:O93"/>
    <mergeCell ref="P40:P43"/>
    <mergeCell ref="J84:J87"/>
    <mergeCell ref="O76:O79"/>
    <mergeCell ref="P76:P79"/>
    <mergeCell ref="P72:P75"/>
    <mergeCell ref="X44:X47"/>
    <mergeCell ref="S72:S75"/>
    <mergeCell ref="S84:S87"/>
    <mergeCell ref="Q44:Q47"/>
    <mergeCell ref="U32:U35"/>
    <mergeCell ref="T68:T71"/>
    <mergeCell ref="X76:X79"/>
    <mergeCell ref="U56:U59"/>
    <mergeCell ref="Q36:Q39"/>
    <mergeCell ref="S36:S39"/>
    <mergeCell ref="T84:T87"/>
    <mergeCell ref="T72:T75"/>
    <mergeCell ref="S44:S47"/>
    <mergeCell ref="R116:R119"/>
    <mergeCell ref="R44:R47"/>
    <mergeCell ref="T80:T83"/>
    <mergeCell ref="S52:S55"/>
    <mergeCell ref="T52:T55"/>
    <mergeCell ref="R98:R101"/>
    <mergeCell ref="S98:S101"/>
    <mergeCell ref="S60:S63"/>
    <mergeCell ref="D8:D11"/>
    <mergeCell ref="U44:U47"/>
    <mergeCell ref="U28:U31"/>
    <mergeCell ref="P28:P31"/>
    <mergeCell ref="I44:I47"/>
    <mergeCell ref="G28:G31"/>
    <mergeCell ref="O8:O11"/>
    <mergeCell ref="T28:T31"/>
    <mergeCell ref="T44:T47"/>
    <mergeCell ref="G24:G27"/>
    <mergeCell ref="V8:V11"/>
    <mergeCell ref="B28:B31"/>
    <mergeCell ref="C28:C31"/>
    <mergeCell ref="D28:D31"/>
    <mergeCell ref="E28:E31"/>
    <mergeCell ref="F28:F31"/>
    <mergeCell ref="B8:B11"/>
    <mergeCell ref="H8:H11"/>
    <mergeCell ref="B12:B15"/>
    <mergeCell ref="C8:C11"/>
    <mergeCell ref="U72:U75"/>
    <mergeCell ref="U68:U71"/>
    <mergeCell ref="U60:U63"/>
    <mergeCell ref="W84:W87"/>
    <mergeCell ref="I8:I11"/>
    <mergeCell ref="J8:J11"/>
    <mergeCell ref="S8:S11"/>
    <mergeCell ref="T8:T11"/>
    <mergeCell ref="G32:G35"/>
    <mergeCell ref="H28:H31"/>
    <mergeCell ref="I28:I31"/>
    <mergeCell ref="S90:S93"/>
    <mergeCell ref="T76:T79"/>
    <mergeCell ref="U84:U87"/>
    <mergeCell ref="H90:H93"/>
    <mergeCell ref="R90:R93"/>
    <mergeCell ref="P90:P93"/>
    <mergeCell ref="O28:O31"/>
    <mergeCell ref="R60:R63"/>
    <mergeCell ref="B90:B93"/>
    <mergeCell ref="C90:C93"/>
    <mergeCell ref="D90:D93"/>
    <mergeCell ref="E90:E93"/>
    <mergeCell ref="B136:B139"/>
    <mergeCell ref="Q136:Q139"/>
    <mergeCell ref="P136:P139"/>
    <mergeCell ref="C136:C139"/>
    <mergeCell ref="D136:D139"/>
    <mergeCell ref="L112:L115"/>
    <mergeCell ref="AK90:AK93"/>
    <mergeCell ref="I90:I93"/>
    <mergeCell ref="V90:V93"/>
    <mergeCell ref="O136:O139"/>
    <mergeCell ref="J94:J97"/>
    <mergeCell ref="AL90:AL93"/>
    <mergeCell ref="X90:X93"/>
    <mergeCell ref="U90:U93"/>
    <mergeCell ref="R120:R123"/>
    <mergeCell ref="U94:U97"/>
    <mergeCell ref="E8:E11"/>
    <mergeCell ref="F8:F11"/>
    <mergeCell ref="G8:G11"/>
    <mergeCell ref="U8:U11"/>
    <mergeCell ref="O44:O47"/>
    <mergeCell ref="S28:S31"/>
    <mergeCell ref="Q28:Q31"/>
    <mergeCell ref="G16:G19"/>
    <mergeCell ref="G20:G23"/>
    <mergeCell ref="H36:H39"/>
    <mergeCell ref="X8:X11"/>
    <mergeCell ref="P8:P11"/>
    <mergeCell ref="J12:J15"/>
    <mergeCell ref="I16:I19"/>
    <mergeCell ref="Q8:Q11"/>
    <mergeCell ref="R160:R163"/>
    <mergeCell ref="W8:W11"/>
    <mergeCell ref="W28:W31"/>
    <mergeCell ref="W44:W47"/>
    <mergeCell ref="W72:W75"/>
    <mergeCell ref="R164:R167"/>
    <mergeCell ref="J28:J31"/>
    <mergeCell ref="J36:J39"/>
    <mergeCell ref="J40:J43"/>
    <mergeCell ref="O12:O15"/>
    <mergeCell ref="R168:R171"/>
    <mergeCell ref="J16:J19"/>
    <mergeCell ref="O20:O23"/>
    <mergeCell ref="P20:P23"/>
    <mergeCell ref="Q20:Q23"/>
    <mergeCell ref="W76:W79"/>
    <mergeCell ref="R8:R11"/>
    <mergeCell ref="W90:W93"/>
    <mergeCell ref="U16:U19"/>
    <mergeCell ref="S20:S23"/>
    <mergeCell ref="H12:H15"/>
    <mergeCell ref="H16:H19"/>
    <mergeCell ref="H20:H23"/>
    <mergeCell ref="H40:H43"/>
    <mergeCell ref="H24:H27"/>
    <mergeCell ref="G36:G39"/>
    <mergeCell ref="G40:G43"/>
    <mergeCell ref="H52:H55"/>
    <mergeCell ref="H48:H51"/>
    <mergeCell ref="G44:G47"/>
    <mergeCell ref="H44:H47"/>
    <mergeCell ref="I20:I23"/>
    <mergeCell ref="J20:J23"/>
    <mergeCell ref="I32:I35"/>
    <mergeCell ref="I24:I27"/>
    <mergeCell ref="J24:J27"/>
    <mergeCell ref="I36:I39"/>
    <mergeCell ref="I40:I43"/>
    <mergeCell ref="O32:O35"/>
    <mergeCell ref="O36:O39"/>
    <mergeCell ref="P36:P39"/>
    <mergeCell ref="O24:O27"/>
    <mergeCell ref="P24:P27"/>
    <mergeCell ref="O40:O43"/>
    <mergeCell ref="R20:R23"/>
    <mergeCell ref="P12:P15"/>
    <mergeCell ref="I12:I15"/>
    <mergeCell ref="S12:S15"/>
    <mergeCell ref="T12:T15"/>
    <mergeCell ref="U12:U15"/>
    <mergeCell ref="O16:O19"/>
    <mergeCell ref="P16:P19"/>
    <mergeCell ref="Q16:Q19"/>
    <mergeCell ref="R16:R19"/>
    <mergeCell ref="S16:S19"/>
    <mergeCell ref="Q12:Q15"/>
    <mergeCell ref="R12:R15"/>
    <mergeCell ref="T16:T19"/>
    <mergeCell ref="U48:U51"/>
    <mergeCell ref="R28:R31"/>
    <mergeCell ref="R32:R35"/>
    <mergeCell ref="T20:T23"/>
    <mergeCell ref="U20:U23"/>
    <mergeCell ref="R36:R39"/>
    <mergeCell ref="U24:U27"/>
    <mergeCell ref="T24:T27"/>
    <mergeCell ref="T32:T35"/>
    <mergeCell ref="Q24:Q27"/>
    <mergeCell ref="R24:R27"/>
    <mergeCell ref="S24:S27"/>
    <mergeCell ref="S32:S35"/>
    <mergeCell ref="S56:S59"/>
    <mergeCell ref="T56:T59"/>
    <mergeCell ref="Q40:Q43"/>
    <mergeCell ref="R40:R43"/>
    <mergeCell ref="S40:S43"/>
    <mergeCell ref="T36:T39"/>
    <mergeCell ref="S48:S51"/>
    <mergeCell ref="T48:T51"/>
    <mergeCell ref="K6:R6"/>
    <mergeCell ref="S6:U6"/>
    <mergeCell ref="O52:O55"/>
    <mergeCell ref="P52:P55"/>
    <mergeCell ref="U36:U39"/>
    <mergeCell ref="U80:U83"/>
    <mergeCell ref="T40:T43"/>
    <mergeCell ref="Q52:Q55"/>
    <mergeCell ref="U40:U43"/>
    <mergeCell ref="U52:U55"/>
    <mergeCell ref="L152:L155"/>
    <mergeCell ref="M152:M155"/>
    <mergeCell ref="N152:N155"/>
    <mergeCell ref="Q80:Q83"/>
    <mergeCell ref="R80:R83"/>
    <mergeCell ref="S80:S83"/>
    <mergeCell ref="R148:R151"/>
    <mergeCell ref="O84:O87"/>
    <mergeCell ref="R112:R115"/>
    <mergeCell ref="M112:M115"/>
    <mergeCell ref="O156:O159"/>
    <mergeCell ref="P156:P159"/>
    <mergeCell ref="Q156:Q159"/>
    <mergeCell ref="B156:B159"/>
    <mergeCell ref="C156:C159"/>
    <mergeCell ref="D156:D159"/>
    <mergeCell ref="E156:E159"/>
    <mergeCell ref="F156:F159"/>
    <mergeCell ref="G156:G159"/>
    <mergeCell ref="R156:R159"/>
    <mergeCell ref="L160:L163"/>
    <mergeCell ref="M160:M163"/>
    <mergeCell ref="N160:N163"/>
    <mergeCell ref="O160:O163"/>
    <mergeCell ref="P160:P163"/>
    <mergeCell ref="Q160:Q163"/>
    <mergeCell ref="L156:L159"/>
    <mergeCell ref="M156:M159"/>
    <mergeCell ref="N156:N159"/>
    <mergeCell ref="Q168:Q171"/>
    <mergeCell ref="L164:L167"/>
    <mergeCell ref="M164:M167"/>
    <mergeCell ref="N164:N167"/>
    <mergeCell ref="O164:O167"/>
    <mergeCell ref="P164:P167"/>
    <mergeCell ref="Q164:Q167"/>
    <mergeCell ref="M172:M175"/>
    <mergeCell ref="N172:N175"/>
    <mergeCell ref="O172:O175"/>
    <mergeCell ref="O168:O171"/>
    <mergeCell ref="P168:P171"/>
    <mergeCell ref="P172:P175"/>
    <mergeCell ref="Q172:Q175"/>
    <mergeCell ref="R172:R175"/>
    <mergeCell ref="F148:F151"/>
    <mergeCell ref="G148:G151"/>
    <mergeCell ref="L168:L171"/>
    <mergeCell ref="M168:M171"/>
    <mergeCell ref="N168:N171"/>
    <mergeCell ref="F172:F175"/>
    <mergeCell ref="G172:G175"/>
    <mergeCell ref="L172:L175"/>
    <mergeCell ref="B183:B186"/>
    <mergeCell ref="C183:C186"/>
    <mergeCell ref="D183:D186"/>
    <mergeCell ref="E183:E186"/>
    <mergeCell ref="F183:F186"/>
    <mergeCell ref="G183:G186"/>
    <mergeCell ref="R183:R186"/>
    <mergeCell ref="L183:L186"/>
    <mergeCell ref="M183:M186"/>
    <mergeCell ref="N183:N186"/>
    <mergeCell ref="O183:O186"/>
    <mergeCell ref="P183:P186"/>
    <mergeCell ref="Q183:Q186"/>
  </mergeCells>
  <dataValidations count="3">
    <dataValidation type="list" allowBlank="1" showInputMessage="1" showErrorMessage="1" sqref="K90:K101 K180:K181 L102 K28:K87">
      <formula1>$Y$88:$Y$89</formula1>
    </dataValidation>
    <dataValidation type="list" allowBlank="1" showInputMessage="1" showErrorMessage="1" sqref="K8:K27">
      <formula1>'Tab Composição Itens Unitários'!#REF!</formula1>
    </dataValidation>
    <dataValidation type="list" allowBlank="1" showInputMessage="1" showErrorMessage="1" sqref="H104:H179 H183:H186">
      <formula1>$Y$102:$Y$102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14" r:id="rId2"/>
  <colBreaks count="1" manualBreakCount="1">
    <brk id="11" min="1" max="229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90" zoomScaleNormal="90" zoomScalePageLayoutView="0" workbookViewId="0" topLeftCell="A4">
      <selection activeCell="D16" sqref="D16"/>
    </sheetView>
  </sheetViews>
  <sheetFormatPr defaultColWidth="8.8515625" defaultRowHeight="12.75"/>
  <cols>
    <col min="1" max="1" width="37.140625" style="0" customWidth="1"/>
    <col min="2" max="2" width="21.140625" style="0" customWidth="1"/>
    <col min="3" max="3" width="23.8515625" style="0" customWidth="1"/>
    <col min="4" max="4" width="20.421875" style="0" customWidth="1"/>
    <col min="5" max="5" width="18.7109375" style="0" customWidth="1"/>
    <col min="6" max="6" width="19.8515625" style="0" bestFit="1" customWidth="1"/>
    <col min="7" max="7" width="17.8515625" style="0" bestFit="1" customWidth="1"/>
    <col min="8" max="10" width="16.421875" style="0" bestFit="1" customWidth="1"/>
    <col min="11" max="11" width="14.421875" style="0" bestFit="1" customWidth="1"/>
  </cols>
  <sheetData>
    <row r="1" spans="1:7" ht="24" customHeight="1" thickBot="1">
      <c r="A1" s="755" t="s">
        <v>428</v>
      </c>
      <c r="B1" s="756"/>
      <c r="C1" s="756"/>
      <c r="D1" s="756"/>
      <c r="E1" s="756"/>
      <c r="F1" s="756"/>
      <c r="G1" s="757"/>
    </row>
    <row r="2" ht="21" customHeight="1" thickBot="1"/>
    <row r="3" spans="1:6" ht="20.25" customHeight="1" thickBot="1">
      <c r="A3" s="193"/>
      <c r="B3" s="192" t="s">
        <v>429</v>
      </c>
      <c r="C3" s="192" t="s">
        <v>430</v>
      </c>
      <c r="D3" s="192" t="s">
        <v>431</v>
      </c>
      <c r="E3" s="177"/>
      <c r="F3" s="177"/>
    </row>
    <row r="4" spans="1:10" ht="15.75">
      <c r="A4" s="189" t="s">
        <v>255</v>
      </c>
      <c r="B4" s="190"/>
      <c r="C4" s="190"/>
      <c r="D4" s="190"/>
      <c r="E4" s="177"/>
      <c r="F4" s="758" t="s">
        <v>356</v>
      </c>
      <c r="G4" s="758"/>
      <c r="I4" s="164" t="s">
        <v>362</v>
      </c>
      <c r="J4" s="289">
        <v>0.9</v>
      </c>
    </row>
    <row r="5" spans="1:11" ht="15.75">
      <c r="A5" s="178" t="s">
        <v>256</v>
      </c>
      <c r="B5" s="179" t="s">
        <v>257</v>
      </c>
      <c r="C5" s="179" t="s">
        <v>258</v>
      </c>
      <c r="D5" s="179" t="s">
        <v>259</v>
      </c>
      <c r="E5" s="177"/>
      <c r="F5" s="294" t="s">
        <v>361</v>
      </c>
      <c r="G5" s="294" t="s">
        <v>360</v>
      </c>
      <c r="H5" s="294" t="s">
        <v>359</v>
      </c>
      <c r="I5" s="294" t="s">
        <v>357</v>
      </c>
      <c r="J5" s="294" t="s">
        <v>358</v>
      </c>
      <c r="K5" s="290"/>
    </row>
    <row r="6" spans="1:11" ht="15.75">
      <c r="A6" s="178" t="s">
        <v>260</v>
      </c>
      <c r="B6" s="180">
        <v>3326146</v>
      </c>
      <c r="C6" s="180">
        <v>2275190</v>
      </c>
      <c r="D6" s="180">
        <v>227719</v>
      </c>
      <c r="E6" s="177"/>
      <c r="F6" s="292">
        <v>1000000</v>
      </c>
      <c r="G6" s="292">
        <v>750000</v>
      </c>
      <c r="H6" s="292">
        <v>75000</v>
      </c>
      <c r="I6" s="292">
        <v>48000</v>
      </c>
      <c r="J6" s="292">
        <v>24000</v>
      </c>
      <c r="K6" s="291"/>
    </row>
    <row r="7" spans="1:10" ht="15.75">
      <c r="A7" s="178" t="s">
        <v>261</v>
      </c>
      <c r="B7" s="179">
        <v>2800</v>
      </c>
      <c r="C7" s="179">
        <v>1900</v>
      </c>
      <c r="D7" s="179">
        <v>190</v>
      </c>
      <c r="E7" s="177"/>
      <c r="F7" s="293">
        <f>F6*$J$4</f>
        <v>900000</v>
      </c>
      <c r="G7" s="293">
        <f>G6*$J$4</f>
        <v>675000</v>
      </c>
      <c r="H7" s="293">
        <f>H6*$J$4</f>
        <v>67500</v>
      </c>
      <c r="I7" s="293">
        <f>I6*$J$4</f>
        <v>43200</v>
      </c>
      <c r="J7" s="293">
        <f>J6*$J$4</f>
        <v>21600</v>
      </c>
    </row>
    <row r="8" spans="1:5" ht="15.75">
      <c r="A8" s="178" t="s">
        <v>262</v>
      </c>
      <c r="B8" s="179">
        <v>14</v>
      </c>
      <c r="C8" s="179">
        <v>10</v>
      </c>
      <c r="D8" s="179">
        <v>1</v>
      </c>
      <c r="E8" s="177"/>
    </row>
    <row r="9" spans="1:8" ht="15.75">
      <c r="A9" s="178" t="s">
        <v>263</v>
      </c>
      <c r="B9" s="293">
        <f>F7</f>
        <v>900000</v>
      </c>
      <c r="C9" s="293">
        <f>G7</f>
        <v>675000</v>
      </c>
      <c r="D9" s="293">
        <f>H7</f>
        <v>67500</v>
      </c>
      <c r="E9" s="177"/>
      <c r="F9" s="758" t="s">
        <v>299</v>
      </c>
      <c r="G9" s="758"/>
      <c r="H9" s="165">
        <v>0.12</v>
      </c>
    </row>
    <row r="10" spans="1:8" ht="15.75">
      <c r="A10" s="178" t="s">
        <v>298</v>
      </c>
      <c r="B10" s="180">
        <f>F11</f>
        <v>399137.51999999996</v>
      </c>
      <c r="C10" s="180">
        <f>G11</f>
        <v>273022.8</v>
      </c>
      <c r="D10" s="180">
        <f>H11</f>
        <v>27326.28</v>
      </c>
      <c r="E10" s="177"/>
      <c r="F10" s="236" t="s">
        <v>300</v>
      </c>
      <c r="G10" s="236" t="s">
        <v>301</v>
      </c>
      <c r="H10" s="236" t="s">
        <v>302</v>
      </c>
    </row>
    <row r="11" spans="1:8" ht="15.75">
      <c r="A11" s="178" t="s">
        <v>264</v>
      </c>
      <c r="B11" s="179">
        <v>130000</v>
      </c>
      <c r="C11" s="179">
        <v>95000</v>
      </c>
      <c r="D11" s="179">
        <v>9500</v>
      </c>
      <c r="E11" s="177"/>
      <c r="F11" s="235">
        <f>B6*$H$9</f>
        <v>399137.51999999996</v>
      </c>
      <c r="G11" s="235">
        <f>C6*$H$9</f>
        <v>273022.8</v>
      </c>
      <c r="H11" s="235">
        <f>D6*$H$9</f>
        <v>27326.28</v>
      </c>
    </row>
    <row r="12" spans="1:6" ht="22.5" customHeight="1">
      <c r="A12" s="178" t="s">
        <v>265</v>
      </c>
      <c r="B12" s="184">
        <f>B6+B9+B10</f>
        <v>4625283.52</v>
      </c>
      <c r="C12" s="184">
        <f>C6+C9+C10</f>
        <v>3223212.8</v>
      </c>
      <c r="D12" s="184">
        <f>D6+D9+D10</f>
        <v>322545.28</v>
      </c>
      <c r="E12" s="181"/>
      <c r="F12" s="182"/>
    </row>
    <row r="14" ht="13.5" thickBot="1"/>
    <row r="15" spans="1:6" ht="19.5" customHeight="1" thickBot="1">
      <c r="A15" s="191"/>
      <c r="B15" s="192" t="s">
        <v>432</v>
      </c>
      <c r="C15" s="192"/>
      <c r="D15" s="192" t="s">
        <v>433</v>
      </c>
      <c r="E15" s="192"/>
      <c r="F15" s="177"/>
    </row>
    <row r="16" spans="1:6" ht="18">
      <c r="A16" s="189" t="s">
        <v>255</v>
      </c>
      <c r="B16" s="190"/>
      <c r="C16" s="190"/>
      <c r="D16" s="190"/>
      <c r="E16" s="190"/>
      <c r="F16" s="183"/>
    </row>
    <row r="17" spans="1:6" ht="18">
      <c r="A17" s="178" t="s">
        <v>256</v>
      </c>
      <c r="B17" s="179" t="s">
        <v>266</v>
      </c>
      <c r="C17" s="179"/>
      <c r="D17" s="179" t="s">
        <v>267</v>
      </c>
      <c r="E17" s="179"/>
      <c r="F17" s="183"/>
    </row>
    <row r="18" spans="1:7" ht="24" customHeight="1">
      <c r="A18" s="178" t="s">
        <v>260</v>
      </c>
      <c r="B18" s="180">
        <v>77669</v>
      </c>
      <c r="C18" s="180"/>
      <c r="D18" s="180">
        <v>155538</v>
      </c>
      <c r="E18" s="180"/>
      <c r="F18" s="183"/>
      <c r="G18" s="237"/>
    </row>
    <row r="19" spans="1:7" ht="18">
      <c r="A19" s="178" t="s">
        <v>261</v>
      </c>
      <c r="B19" s="179">
        <v>60</v>
      </c>
      <c r="C19" s="179"/>
      <c r="D19" s="179">
        <v>120</v>
      </c>
      <c r="E19" s="179"/>
      <c r="F19" s="183"/>
      <c r="G19" s="237"/>
    </row>
    <row r="20" spans="1:6" ht="18">
      <c r="A20" s="178" t="s">
        <v>268</v>
      </c>
      <c r="B20" s="179">
        <v>1</v>
      </c>
      <c r="C20" s="179"/>
      <c r="D20" s="179">
        <v>2</v>
      </c>
      <c r="E20" s="179"/>
      <c r="F20" s="183"/>
    </row>
    <row r="21" spans="1:6" ht="18">
      <c r="A21" s="178" t="s">
        <v>263</v>
      </c>
      <c r="B21" s="293">
        <f>J7</f>
        <v>21600</v>
      </c>
      <c r="C21" s="293"/>
      <c r="D21" s="293">
        <f>I7</f>
        <v>43200</v>
      </c>
      <c r="E21" s="293"/>
      <c r="F21" s="183"/>
    </row>
    <row r="22" spans="1:6" ht="18">
      <c r="A22" s="178" t="s">
        <v>264</v>
      </c>
      <c r="B22" s="179">
        <v>2700</v>
      </c>
      <c r="C22" s="179"/>
      <c r="D22" s="179">
        <v>6000</v>
      </c>
      <c r="E22" s="179"/>
      <c r="F22" s="183"/>
    </row>
    <row r="23" spans="1:6" ht="25.5" customHeight="1">
      <c r="A23" s="178" t="s">
        <v>265</v>
      </c>
      <c r="B23" s="184">
        <f>B18+B21</f>
        <v>99269</v>
      </c>
      <c r="C23" s="184"/>
      <c r="D23" s="184">
        <f>D18+D21</f>
        <v>198738</v>
      </c>
      <c r="E23" s="184"/>
      <c r="F23" s="183"/>
    </row>
    <row r="24" spans="1:6" ht="18">
      <c r="A24" s="185"/>
      <c r="B24" s="186"/>
      <c r="C24" s="186"/>
      <c r="D24" s="186"/>
      <c r="E24" s="186"/>
      <c r="F24" s="183"/>
    </row>
    <row r="25" ht="13.5" thickBot="1"/>
    <row r="26" spans="1:4" ht="16.5" thickBot="1">
      <c r="A26" s="178" t="s">
        <v>269</v>
      </c>
      <c r="B26" s="178"/>
      <c r="C26" s="187"/>
      <c r="D26" s="188">
        <f>SUM(B12+C12+D12+B23+C23+D23+E23)</f>
        <v>8469048.6</v>
      </c>
    </row>
    <row r="49" ht="12.75">
      <c r="A49" s="163" t="s">
        <v>352</v>
      </c>
    </row>
    <row r="50" ht="12.75">
      <c r="A50" s="163" t="s">
        <v>353</v>
      </c>
    </row>
    <row r="51" ht="12.75">
      <c r="A51" s="163" t="s">
        <v>354</v>
      </c>
    </row>
    <row r="52" ht="12.75">
      <c r="A52" s="163" t="s">
        <v>355</v>
      </c>
    </row>
  </sheetData>
  <sheetProtection/>
  <mergeCells count="3">
    <mergeCell ref="A1:G1"/>
    <mergeCell ref="F4:G4"/>
    <mergeCell ref="F9:G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/>
  <headerFooter alignWithMargins="0">
    <oddFooter>&amp;L&amp;8&amp;F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F29"/>
  <sheetViews>
    <sheetView zoomScalePageLayoutView="0" workbookViewId="0" topLeftCell="A1">
      <selection activeCell="B3" sqref="B3:E28"/>
    </sheetView>
  </sheetViews>
  <sheetFormatPr defaultColWidth="8.8515625" defaultRowHeight="12.75"/>
  <cols>
    <col min="1" max="1" width="8.8515625" style="0" customWidth="1"/>
    <col min="2" max="2" width="45.7109375" style="0" customWidth="1"/>
    <col min="3" max="3" width="7.7109375" style="0" customWidth="1"/>
    <col min="4" max="4" width="11.7109375" style="0" customWidth="1"/>
    <col min="5" max="5" width="9.8515625" style="0" customWidth="1"/>
  </cols>
  <sheetData>
    <row r="3" spans="1:5" ht="38.25">
      <c r="A3" s="162"/>
      <c r="B3" s="175" t="s">
        <v>248</v>
      </c>
      <c r="C3" s="173" t="s">
        <v>244</v>
      </c>
      <c r="D3" s="172" t="s">
        <v>246</v>
      </c>
      <c r="E3" s="174" t="s">
        <v>247</v>
      </c>
    </row>
    <row r="4" spans="2:6" ht="38.25">
      <c r="B4" s="174" t="s">
        <v>245</v>
      </c>
      <c r="C4" s="176">
        <v>4</v>
      </c>
      <c r="D4" s="176">
        <v>41</v>
      </c>
      <c r="E4" s="176">
        <v>10</v>
      </c>
      <c r="F4" s="176"/>
    </row>
    <row r="5" spans="2:5" ht="38.25">
      <c r="B5" s="174" t="s">
        <v>245</v>
      </c>
      <c r="C5" s="176">
        <v>4</v>
      </c>
      <c r="D5" s="176">
        <v>41</v>
      </c>
      <c r="E5" s="176">
        <v>20</v>
      </c>
    </row>
    <row r="6" spans="2:5" ht="38.25">
      <c r="B6" s="174" t="s">
        <v>245</v>
      </c>
      <c r="C6" s="176">
        <v>4</v>
      </c>
      <c r="D6" s="176">
        <v>41</v>
      </c>
      <c r="E6" s="176">
        <v>30</v>
      </c>
    </row>
    <row r="7" spans="2:5" ht="38.25">
      <c r="B7" s="174" t="s">
        <v>245</v>
      </c>
      <c r="C7" s="176">
        <v>4</v>
      </c>
      <c r="D7" s="176">
        <v>41</v>
      </c>
      <c r="E7" s="176">
        <v>50</v>
      </c>
    </row>
    <row r="8" spans="2:5" ht="38.25">
      <c r="B8" s="174" t="s">
        <v>245</v>
      </c>
      <c r="C8" s="176">
        <v>4</v>
      </c>
      <c r="D8" s="176">
        <v>51</v>
      </c>
      <c r="E8" s="176">
        <v>100</v>
      </c>
    </row>
    <row r="9" spans="2:5" ht="38.25">
      <c r="B9" s="174" t="s">
        <v>249</v>
      </c>
      <c r="C9" s="176">
        <v>6</v>
      </c>
      <c r="D9" s="176">
        <v>51</v>
      </c>
      <c r="E9" s="176">
        <v>10</v>
      </c>
    </row>
    <row r="10" spans="2:5" ht="38.25">
      <c r="B10" s="174" t="s">
        <v>249</v>
      </c>
      <c r="C10" s="176">
        <v>6</v>
      </c>
      <c r="D10" s="176">
        <v>51</v>
      </c>
      <c r="E10" s="176">
        <v>20</v>
      </c>
    </row>
    <row r="11" spans="2:5" ht="38.25">
      <c r="B11" s="174" t="s">
        <v>249</v>
      </c>
      <c r="C11" s="176">
        <v>6</v>
      </c>
      <c r="D11" s="176">
        <v>51</v>
      </c>
      <c r="E11" s="176">
        <v>30</v>
      </c>
    </row>
    <row r="12" spans="2:5" ht="38.25">
      <c r="B12" s="174" t="s">
        <v>249</v>
      </c>
      <c r="C12" s="176">
        <v>6</v>
      </c>
      <c r="D12" s="176">
        <v>51</v>
      </c>
      <c r="E12" s="176">
        <v>50</v>
      </c>
    </row>
    <row r="13" spans="2:5" ht="38.25">
      <c r="B13" s="174" t="s">
        <v>249</v>
      </c>
      <c r="C13" s="176">
        <v>6</v>
      </c>
      <c r="D13" s="176">
        <v>51</v>
      </c>
      <c r="E13" s="176">
        <v>100</v>
      </c>
    </row>
    <row r="14" spans="2:5" ht="38.25">
      <c r="B14" s="174" t="s">
        <v>250</v>
      </c>
      <c r="C14" s="176">
        <v>10</v>
      </c>
      <c r="D14" s="176">
        <v>71</v>
      </c>
      <c r="E14" s="176">
        <v>10</v>
      </c>
    </row>
    <row r="15" spans="2:5" ht="38.25">
      <c r="B15" s="174" t="s">
        <v>250</v>
      </c>
      <c r="C15" s="176">
        <v>10</v>
      </c>
      <c r="D15" s="176">
        <v>71</v>
      </c>
      <c r="E15" s="176">
        <v>20</v>
      </c>
    </row>
    <row r="16" spans="2:5" ht="38.25">
      <c r="B16" s="174" t="s">
        <v>250</v>
      </c>
      <c r="C16" s="176">
        <v>10</v>
      </c>
      <c r="D16" s="176">
        <v>71</v>
      </c>
      <c r="E16" s="176">
        <v>30</v>
      </c>
    </row>
    <row r="17" spans="2:5" ht="38.25">
      <c r="B17" s="174" t="s">
        <v>250</v>
      </c>
      <c r="C17" s="176">
        <v>10</v>
      </c>
      <c r="D17" s="176">
        <v>71</v>
      </c>
      <c r="E17" s="176">
        <v>50</v>
      </c>
    </row>
    <row r="18" spans="2:5" ht="38.25">
      <c r="B18" s="174" t="s">
        <v>250</v>
      </c>
      <c r="C18" s="176">
        <v>10</v>
      </c>
      <c r="D18" s="176">
        <v>71</v>
      </c>
      <c r="E18" s="176">
        <v>100</v>
      </c>
    </row>
    <row r="19" spans="2:5" ht="38.25">
      <c r="B19" s="174" t="s">
        <v>251</v>
      </c>
      <c r="C19" s="176">
        <v>16</v>
      </c>
      <c r="D19" s="176">
        <v>93</v>
      </c>
      <c r="E19" s="176">
        <v>10</v>
      </c>
    </row>
    <row r="20" spans="2:5" ht="38.25">
      <c r="B20" s="174" t="s">
        <v>251</v>
      </c>
      <c r="C20" s="176">
        <v>16</v>
      </c>
      <c r="D20" s="176">
        <v>93</v>
      </c>
      <c r="E20" s="176">
        <v>20</v>
      </c>
    </row>
    <row r="21" spans="2:5" ht="38.25">
      <c r="B21" s="174" t="s">
        <v>251</v>
      </c>
      <c r="C21" s="176">
        <v>16</v>
      </c>
      <c r="D21" s="176">
        <v>93</v>
      </c>
      <c r="E21" s="176">
        <v>30</v>
      </c>
    </row>
    <row r="22" spans="2:5" ht="38.25">
      <c r="B22" s="174" t="s">
        <v>251</v>
      </c>
      <c r="C22" s="176">
        <v>16</v>
      </c>
      <c r="D22" s="176">
        <v>93</v>
      </c>
      <c r="E22" s="176">
        <v>50</v>
      </c>
    </row>
    <row r="23" spans="2:5" ht="38.25">
      <c r="B23" s="174" t="s">
        <v>251</v>
      </c>
      <c r="C23" s="176">
        <v>16</v>
      </c>
      <c r="D23" s="176">
        <v>93</v>
      </c>
      <c r="E23" s="176">
        <v>100</v>
      </c>
    </row>
    <row r="24" spans="2:5" ht="38.25">
      <c r="B24" s="174" t="s">
        <v>252</v>
      </c>
      <c r="C24" s="176">
        <v>25</v>
      </c>
      <c r="D24" s="176">
        <v>123</v>
      </c>
      <c r="E24" s="176">
        <v>10</v>
      </c>
    </row>
    <row r="25" spans="2:5" ht="38.25">
      <c r="B25" s="174" t="s">
        <v>252</v>
      </c>
      <c r="C25" s="176">
        <v>25</v>
      </c>
      <c r="D25" s="176">
        <v>123</v>
      </c>
      <c r="E25" s="176">
        <v>20</v>
      </c>
    </row>
    <row r="26" spans="2:5" ht="38.25">
      <c r="B26" s="174" t="s">
        <v>252</v>
      </c>
      <c r="C26" s="176">
        <v>25</v>
      </c>
      <c r="D26" s="176">
        <v>123</v>
      </c>
      <c r="E26" s="176">
        <v>30</v>
      </c>
    </row>
    <row r="27" spans="2:5" ht="38.25">
      <c r="B27" s="174" t="s">
        <v>252</v>
      </c>
      <c r="C27" s="176">
        <v>25</v>
      </c>
      <c r="D27" s="176">
        <v>123</v>
      </c>
      <c r="E27" s="176">
        <v>50</v>
      </c>
    </row>
    <row r="28" spans="2:5" ht="38.25">
      <c r="B28" s="174" t="s">
        <v>252</v>
      </c>
      <c r="C28" s="176">
        <v>25</v>
      </c>
      <c r="D28" s="176">
        <v>123</v>
      </c>
      <c r="E28" s="176">
        <v>100</v>
      </c>
    </row>
    <row r="29" ht="12.75">
      <c r="C29" s="17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D9" sqref="D9"/>
    </sheetView>
  </sheetViews>
  <sheetFormatPr defaultColWidth="8.8515625" defaultRowHeight="12.75"/>
  <cols>
    <col min="1" max="1" width="10.7109375" style="0" customWidth="1"/>
    <col min="2" max="2" width="15.8515625" style="0" bestFit="1" customWidth="1"/>
    <col min="3" max="3" width="15.7109375" style="0" customWidth="1"/>
    <col min="4" max="4" width="20.7109375" style="0" customWidth="1"/>
    <col min="5" max="5" width="8.8515625" style="0" customWidth="1"/>
    <col min="6" max="6" width="1.421875" style="0" customWidth="1"/>
  </cols>
  <sheetData>
    <row r="1" spans="1:6" ht="18">
      <c r="A1" s="532" t="s">
        <v>162</v>
      </c>
      <c r="B1" s="522"/>
      <c r="C1" s="522"/>
      <c r="D1" s="522"/>
      <c r="E1" s="522"/>
      <c r="F1" s="533"/>
    </row>
    <row r="2" spans="1:6" ht="7.5" customHeight="1">
      <c r="A2" s="116"/>
      <c r="B2" s="140"/>
      <c r="C2" s="140"/>
      <c r="D2" s="140"/>
      <c r="E2" s="121"/>
      <c r="F2" s="118"/>
    </row>
    <row r="3" spans="1:6" ht="15" customHeight="1">
      <c r="A3" s="534" t="s">
        <v>153</v>
      </c>
      <c r="B3" s="523"/>
      <c r="C3" s="523"/>
      <c r="D3" s="523"/>
      <c r="E3" s="523"/>
      <c r="F3" s="535"/>
    </row>
    <row r="4" spans="1:6" ht="7.5" customHeight="1">
      <c r="A4" s="116"/>
      <c r="B4" s="140"/>
      <c r="C4" s="140"/>
      <c r="D4" s="140"/>
      <c r="E4" s="121"/>
      <c r="F4" s="118"/>
    </row>
    <row r="5" spans="1:6" ht="12.75">
      <c r="A5" s="141" t="s">
        <v>163</v>
      </c>
      <c r="B5" s="142"/>
      <c r="C5" s="143"/>
      <c r="D5" s="143"/>
      <c r="E5" s="143"/>
      <c r="F5" s="144"/>
    </row>
    <row r="6" spans="1:6" ht="17.25" customHeight="1">
      <c r="A6" s="536" t="str">
        <f>Objeto!C8</f>
        <v>EXECUÇÃO DE SERVIÇOS DEINSTALAÇÃO DE PAINEL SOLAR</v>
      </c>
      <c r="B6" s="537"/>
      <c r="C6" s="537"/>
      <c r="D6" s="537"/>
      <c r="E6" s="537"/>
      <c r="F6" s="538"/>
    </row>
    <row r="7" spans="1:6" ht="12.75">
      <c r="A7" s="116"/>
      <c r="B7" s="121"/>
      <c r="C7" s="121"/>
      <c r="D7" s="121"/>
      <c r="E7" s="121"/>
      <c r="F7" s="118"/>
    </row>
    <row r="8" spans="1:6" ht="12.75">
      <c r="A8" s="116"/>
      <c r="B8" s="145" t="s">
        <v>164</v>
      </c>
      <c r="C8" s="145" t="s">
        <v>165</v>
      </c>
      <c r="D8" s="145" t="s">
        <v>166</v>
      </c>
      <c r="E8" s="121"/>
      <c r="F8" s="118"/>
    </row>
    <row r="9" spans="1:6" ht="12.75">
      <c r="A9" s="116"/>
      <c r="B9" s="157" t="s">
        <v>179</v>
      </c>
      <c r="C9" s="146">
        <v>1</v>
      </c>
      <c r="D9" s="147" t="e">
        <f>C9*D11</f>
        <v>#REF!</v>
      </c>
      <c r="E9" s="121"/>
      <c r="F9" s="118"/>
    </row>
    <row r="10" spans="1:6" ht="12.75">
      <c r="A10" s="116"/>
      <c r="B10" s="157"/>
      <c r="C10" s="146"/>
      <c r="D10" s="147"/>
      <c r="E10" s="121"/>
      <c r="F10" s="118"/>
    </row>
    <row r="11" spans="1:6" ht="19.5" customHeight="1">
      <c r="A11" s="116"/>
      <c r="B11" s="148" t="s">
        <v>159</v>
      </c>
      <c r="C11" s="149">
        <f>SUM(C10:C10)</f>
        <v>0</v>
      </c>
      <c r="D11" s="133" t="e">
        <f>Preços!I75</f>
        <v>#REF!</v>
      </c>
      <c r="E11" s="121"/>
      <c r="F11" s="118"/>
    </row>
    <row r="12" spans="1:6" ht="28.5" customHeight="1" thickBot="1">
      <c r="A12" s="134"/>
      <c r="B12" s="135"/>
      <c r="C12" s="531"/>
      <c r="D12" s="531"/>
      <c r="E12" s="531"/>
      <c r="F12" s="539"/>
    </row>
    <row r="13" spans="2:4" ht="39.75" customHeight="1">
      <c r="B13" s="137"/>
      <c r="C13" s="138"/>
      <c r="D13" s="138"/>
    </row>
    <row r="14" spans="2:4" ht="12.75">
      <c r="B14" s="138"/>
      <c r="C14" s="138"/>
      <c r="D14" s="138"/>
    </row>
  </sheetData>
  <sheetProtection/>
  <mergeCells count="4">
    <mergeCell ref="A1:F1"/>
    <mergeCell ref="A3:F3"/>
    <mergeCell ref="A6:F6"/>
    <mergeCell ref="C12:F12"/>
  </mergeCells>
  <printOptions horizontalCentered="1" verticalCentered="1"/>
  <pageMargins left="0.5905511811023623" right="0.5905511811023623" top="0.7874015748031497" bottom="0.7874015748031497" header="0.7874015748031497" footer="0.7874015748031497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89"/>
  <sheetViews>
    <sheetView zoomScale="95" zoomScaleNormal="95" zoomScaleSheetLayoutView="100" workbookViewId="0" topLeftCell="A22">
      <selection activeCell="I51" sqref="I51"/>
    </sheetView>
  </sheetViews>
  <sheetFormatPr defaultColWidth="11.421875" defaultRowHeight="12.75"/>
  <cols>
    <col min="1" max="1" width="0.85546875" style="11" customWidth="1"/>
    <col min="2" max="2" width="22.00390625" style="11" customWidth="1"/>
    <col min="3" max="3" width="7.421875" style="11" customWidth="1"/>
    <col min="4" max="4" width="12.00390625" style="11" customWidth="1"/>
    <col min="5" max="5" width="6.8515625" style="11" customWidth="1"/>
    <col min="6" max="6" width="16.140625" style="12" bestFit="1" customWidth="1"/>
    <col min="7" max="7" width="8.8515625" style="11" customWidth="1"/>
    <col min="8" max="8" width="11.00390625" style="11" customWidth="1"/>
    <col min="9" max="9" width="9.7109375" style="11" customWidth="1"/>
    <col min="10" max="10" width="18.421875" style="11" customWidth="1"/>
    <col min="11" max="11" width="0.71875" style="12" customWidth="1"/>
    <col min="12" max="12" width="16.00390625" style="11" customWidth="1"/>
    <col min="13" max="13" width="14.8515625" style="11" customWidth="1"/>
    <col min="14" max="14" width="22.7109375" style="11" customWidth="1"/>
    <col min="15" max="15" width="9.140625" style="11" customWidth="1"/>
    <col min="16" max="16" width="14.00390625" style="11" customWidth="1"/>
    <col min="17" max="17" width="9.28125" style="11" customWidth="1"/>
    <col min="18" max="29" width="9.140625" style="11" customWidth="1"/>
    <col min="30" max="16384" width="11.421875" style="11" customWidth="1"/>
  </cols>
  <sheetData>
    <row r="1" spans="1:17" ht="12.75">
      <c r="A1" s="1"/>
      <c r="B1" s="1"/>
      <c r="C1" s="1"/>
      <c r="D1" s="2"/>
      <c r="E1" s="2"/>
      <c r="F1" s="2"/>
      <c r="G1" s="2"/>
      <c r="H1" s="2"/>
      <c r="I1" s="2"/>
      <c r="J1" s="2"/>
      <c r="K1" s="1"/>
      <c r="L1" s="31" t="s">
        <v>90</v>
      </c>
      <c r="M1" s="28" t="s">
        <v>96</v>
      </c>
      <c r="N1" s="28" t="s">
        <v>107</v>
      </c>
      <c r="P1" s="28" t="s">
        <v>143</v>
      </c>
      <c r="Q1" s="28" t="s">
        <v>147</v>
      </c>
    </row>
    <row r="2" spans="1:17" ht="18">
      <c r="A2" s="1"/>
      <c r="B2" s="1"/>
      <c r="C2" s="545" t="str">
        <f>IF(O13="","Composição Analítica de Custos - Serviço Comum","Composição Analítica de Custos - Engenharia")</f>
        <v>Composição Analítica de Custos - Engenharia</v>
      </c>
      <c r="D2" s="545"/>
      <c r="E2" s="545"/>
      <c r="F2" s="545"/>
      <c r="G2" s="545"/>
      <c r="H2" s="545"/>
      <c r="I2" s="545"/>
      <c r="J2" s="545"/>
      <c r="K2" s="1"/>
      <c r="L2" s="32">
        <v>0.01</v>
      </c>
      <c r="M2" s="62" t="s">
        <v>85</v>
      </c>
      <c r="N2" s="28" t="s">
        <v>57</v>
      </c>
      <c r="O2" s="11" t="s">
        <v>65</v>
      </c>
      <c r="P2" s="28" t="s">
        <v>144</v>
      </c>
      <c r="Q2" s="66">
        <v>1</v>
      </c>
    </row>
    <row r="3" spans="1:17" ht="16.5" customHeight="1">
      <c r="A3" s="1"/>
      <c r="B3" s="20"/>
      <c r="C3" s="20"/>
      <c r="D3" s="20"/>
      <c r="E3" s="20"/>
      <c r="F3" s="20"/>
      <c r="G3" s="20"/>
      <c r="H3" s="20"/>
      <c r="I3" s="20"/>
      <c r="J3" s="20"/>
      <c r="K3" s="1"/>
      <c r="L3" s="32">
        <v>0.02</v>
      </c>
      <c r="M3" s="62" t="s">
        <v>86</v>
      </c>
      <c r="N3" s="28" t="s">
        <v>56</v>
      </c>
      <c r="P3" s="28" t="s">
        <v>145</v>
      </c>
      <c r="Q3" s="66">
        <v>2</v>
      </c>
    </row>
    <row r="4" spans="1:17" ht="15">
      <c r="A4" s="1"/>
      <c r="B4" s="23"/>
      <c r="C4" s="546" t="s">
        <v>54</v>
      </c>
      <c r="D4" s="547"/>
      <c r="E4" s="553" t="str">
        <f>Objeto!C8</f>
        <v>EXECUÇÃO DE SERVIÇOS DEINSTALAÇÃO DE PAINEL SOLAR</v>
      </c>
      <c r="F4" s="554"/>
      <c r="G4" s="554"/>
      <c r="H4" s="554"/>
      <c r="I4" s="554"/>
      <c r="J4" s="555"/>
      <c r="K4" s="1"/>
      <c r="L4" s="32">
        <v>0.03</v>
      </c>
      <c r="M4" s="62" t="s">
        <v>87</v>
      </c>
      <c r="N4" s="28" t="s">
        <v>66</v>
      </c>
      <c r="P4" s="28" t="s">
        <v>146</v>
      </c>
      <c r="Q4" s="66">
        <v>3</v>
      </c>
    </row>
    <row r="5" spans="1:14" ht="18">
      <c r="A5" s="21"/>
      <c r="B5" s="20"/>
      <c r="C5" s="20"/>
      <c r="D5" s="20"/>
      <c r="E5" s="20"/>
      <c r="F5" s="20"/>
      <c r="G5" s="20"/>
      <c r="H5" s="20"/>
      <c r="I5" s="20"/>
      <c r="J5" s="20"/>
      <c r="K5" s="21"/>
      <c r="L5" s="12"/>
      <c r="M5" s="62" t="s">
        <v>88</v>
      </c>
      <c r="N5" s="28"/>
    </row>
    <row r="6" spans="1:18" s="22" customFormat="1" ht="15">
      <c r="A6" s="17"/>
      <c r="B6" s="23"/>
      <c r="C6" s="546" t="s">
        <v>55</v>
      </c>
      <c r="D6" s="547"/>
      <c r="E6" s="563" t="s">
        <v>174</v>
      </c>
      <c r="F6" s="554"/>
      <c r="G6" s="554"/>
      <c r="H6" s="554"/>
      <c r="I6" s="554"/>
      <c r="J6" s="555"/>
      <c r="K6" s="17"/>
      <c r="L6" s="556" t="s">
        <v>106</v>
      </c>
      <c r="M6" s="11"/>
      <c r="N6" s="24">
        <v>2</v>
      </c>
      <c r="O6" s="110" t="s">
        <v>65</v>
      </c>
      <c r="P6" s="101" t="s">
        <v>145</v>
      </c>
      <c r="Q6" s="71" t="s">
        <v>145</v>
      </c>
      <c r="R6" s="112">
        <f>CHOOSE(VLOOKUP(F12,P2:Q4,2,FALSE),E12/30,E12,E12*12)</f>
        <v>12</v>
      </c>
    </row>
    <row r="7" spans="1:14" ht="6.75" customHeight="1">
      <c r="A7" s="21"/>
      <c r="B7" s="20"/>
      <c r="C7" s="20"/>
      <c r="D7" s="20"/>
      <c r="E7" s="20"/>
      <c r="F7" s="20"/>
      <c r="G7" s="20"/>
      <c r="H7" s="20"/>
      <c r="I7" s="20"/>
      <c r="J7" s="20"/>
      <c r="K7" s="21"/>
      <c r="L7" s="556"/>
      <c r="N7" s="28"/>
    </row>
    <row r="8" spans="1:18" ht="18">
      <c r="A8" s="1"/>
      <c r="B8" s="23"/>
      <c r="C8" s="546" t="s">
        <v>67</v>
      </c>
      <c r="D8" s="547"/>
      <c r="E8" s="81" t="s">
        <v>175</v>
      </c>
      <c r="F8" s="23"/>
      <c r="G8" s="20"/>
      <c r="H8" s="557" t="s">
        <v>46</v>
      </c>
      <c r="I8" s="557"/>
      <c r="J8" s="557"/>
      <c r="K8" s="1"/>
      <c r="L8" s="78">
        <v>1</v>
      </c>
      <c r="M8" s="28" t="s">
        <v>97</v>
      </c>
      <c r="N8" s="63" t="str">
        <f>CHOOSE(N6,N2,N3,N4)</f>
        <v>Mensal</v>
      </c>
      <c r="Q8" s="28" t="s">
        <v>137</v>
      </c>
      <c r="R8" s="28" t="s">
        <v>138</v>
      </c>
    </row>
    <row r="9" spans="1:13" ht="12.75" customHeight="1">
      <c r="A9" s="21"/>
      <c r="B9" s="20"/>
      <c r="C9" s="20"/>
      <c r="D9" s="20"/>
      <c r="E9" s="20"/>
      <c r="F9" s="20"/>
      <c r="G9" s="20"/>
      <c r="H9" s="558"/>
      <c r="I9" s="558"/>
      <c r="J9" s="558"/>
      <c r="K9" s="21"/>
      <c r="L9" s="70">
        <v>1</v>
      </c>
      <c r="M9" s="28" t="s">
        <v>89</v>
      </c>
    </row>
    <row r="10" spans="1:19" s="22" customFormat="1" ht="13.5" customHeight="1">
      <c r="A10" s="1"/>
      <c r="B10" s="61"/>
      <c r="C10" s="20"/>
      <c r="D10" s="27">
        <f>IF(N6=3,"Unidade:","")</f>
      </c>
      <c r="E10" s="67"/>
      <c r="F10" s="20"/>
      <c r="G10" s="20"/>
      <c r="H10" s="615" t="s">
        <v>29</v>
      </c>
      <c r="I10" s="616"/>
      <c r="J10" s="100">
        <v>0.015</v>
      </c>
      <c r="K10" s="1"/>
      <c r="L10" s="71">
        <v>2</v>
      </c>
      <c r="M10" s="28" t="s">
        <v>98</v>
      </c>
      <c r="N10" s="11"/>
      <c r="O10" s="106">
        <v>2</v>
      </c>
      <c r="P10" s="28">
        <v>1</v>
      </c>
      <c r="Q10" s="103">
        <v>0.0065</v>
      </c>
      <c r="R10" s="104">
        <v>0.03</v>
      </c>
      <c r="S10" s="105" t="s">
        <v>140</v>
      </c>
    </row>
    <row r="11" spans="1:19" ht="13.5" customHeight="1">
      <c r="A11" s="21"/>
      <c r="B11" s="20"/>
      <c r="C11" s="20"/>
      <c r="D11" s="20"/>
      <c r="E11" s="20"/>
      <c r="F11" s="20"/>
      <c r="G11" s="20"/>
      <c r="H11" s="615" t="s">
        <v>45</v>
      </c>
      <c r="I11" s="616"/>
      <c r="J11" s="100">
        <v>0.012</v>
      </c>
      <c r="K11" s="21"/>
      <c r="L11" s="71">
        <v>3</v>
      </c>
      <c r="M11" s="28" t="s">
        <v>99</v>
      </c>
      <c r="N11" s="22"/>
      <c r="P11" s="28">
        <v>2</v>
      </c>
      <c r="Q11" s="103">
        <v>0.0165</v>
      </c>
      <c r="R11" s="103">
        <v>0.076</v>
      </c>
      <c r="S11" s="105" t="s">
        <v>141</v>
      </c>
    </row>
    <row r="12" spans="1:19" ht="13.5" customHeight="1">
      <c r="A12" s="1"/>
      <c r="B12" s="20"/>
      <c r="C12" s="20"/>
      <c r="D12" s="27" t="s">
        <v>148</v>
      </c>
      <c r="E12" s="111">
        <v>12</v>
      </c>
      <c r="F12" s="108" t="s">
        <v>145</v>
      </c>
      <c r="G12" s="20"/>
      <c r="H12" s="615" t="s">
        <v>31</v>
      </c>
      <c r="I12" s="616"/>
      <c r="J12" s="100">
        <v>0.08</v>
      </c>
      <c r="K12" s="1"/>
      <c r="L12" s="70">
        <v>4</v>
      </c>
      <c r="M12" s="28" t="s">
        <v>100</v>
      </c>
      <c r="P12" s="28">
        <v>3</v>
      </c>
      <c r="Q12" s="107">
        <v>0</v>
      </c>
      <c r="R12" s="107">
        <v>0</v>
      </c>
      <c r="S12" s="105" t="s">
        <v>142</v>
      </c>
    </row>
    <row r="13" spans="1:17" ht="13.5" customHeight="1">
      <c r="A13" s="1"/>
      <c r="B13" s="20"/>
      <c r="C13" s="20"/>
      <c r="D13" s="20"/>
      <c r="E13" s="20"/>
      <c r="F13" s="20"/>
      <c r="G13" s="20"/>
      <c r="H13" s="615" t="s">
        <v>47</v>
      </c>
      <c r="I13" s="616"/>
      <c r="J13" s="100">
        <v>0.03</v>
      </c>
      <c r="K13" s="1"/>
      <c r="L13" s="12"/>
      <c r="M13" s="12" t="s">
        <v>65</v>
      </c>
      <c r="O13" s="98" t="str">
        <f>IF(P13,"X","")</f>
        <v>X</v>
      </c>
      <c r="P13" s="65" t="b">
        <v>1</v>
      </c>
      <c r="Q13" s="11" t="s">
        <v>119</v>
      </c>
    </row>
    <row r="14" spans="1:17" ht="13.5" customHeight="1">
      <c r="A14" s="1"/>
      <c r="B14" s="20"/>
      <c r="C14" s="20"/>
      <c r="D14" s="20"/>
      <c r="E14" s="20"/>
      <c r="F14" s="20"/>
      <c r="G14" s="109"/>
      <c r="H14" s="617" t="s">
        <v>102</v>
      </c>
      <c r="I14" s="618"/>
      <c r="J14" s="100">
        <v>0.03</v>
      </c>
      <c r="K14" s="1"/>
      <c r="L14" s="70">
        <v>1</v>
      </c>
      <c r="M14" s="66" t="s">
        <v>111</v>
      </c>
      <c r="N14" s="11" t="s">
        <v>136</v>
      </c>
      <c r="O14" s="98" t="str">
        <f>IF(P13,IF(P14,"X",""),"")</f>
        <v>X</v>
      </c>
      <c r="P14" s="101" t="b">
        <v>1</v>
      </c>
      <c r="Q14" s="11" t="s">
        <v>136</v>
      </c>
    </row>
    <row r="15" spans="1:17" ht="19.5" customHeight="1">
      <c r="A15" s="1"/>
      <c r="B15" s="20"/>
      <c r="C15" s="20"/>
      <c r="D15" s="20"/>
      <c r="E15" s="4"/>
      <c r="F15" s="20"/>
      <c r="G15" s="109"/>
      <c r="H15" s="99" t="s">
        <v>137</v>
      </c>
      <c r="I15" s="564" t="str">
        <f>VLOOKUP($O$10,$P$10:$S$12,4,FALSE)</f>
        <v>2- Lucro Real</v>
      </c>
      <c r="J15" s="150">
        <v>0.0165</v>
      </c>
      <c r="K15" s="1"/>
      <c r="L15" s="70">
        <v>2</v>
      </c>
      <c r="M15" s="66" t="s">
        <v>110</v>
      </c>
      <c r="N15" s="28" t="s">
        <v>73</v>
      </c>
      <c r="O15" s="98" t="str">
        <f>IF(admin_valor&gt;0,"X",IF(P15,"X",""))</f>
        <v>X</v>
      </c>
      <c r="P15" s="102" t="b">
        <v>1</v>
      </c>
      <c r="Q15" s="11" t="s">
        <v>135</v>
      </c>
    </row>
    <row r="16" spans="1:17" ht="13.5" customHeight="1">
      <c r="A16" s="1"/>
      <c r="B16" s="20"/>
      <c r="C16" s="1"/>
      <c r="D16" s="4"/>
      <c r="E16" s="4"/>
      <c r="F16" s="20"/>
      <c r="G16" s="109"/>
      <c r="H16" s="99" t="s">
        <v>138</v>
      </c>
      <c r="I16" s="565"/>
      <c r="J16" s="150">
        <v>0.076</v>
      </c>
      <c r="K16" s="1"/>
      <c r="L16" s="70">
        <v>3</v>
      </c>
      <c r="M16" s="66" t="s">
        <v>126</v>
      </c>
      <c r="N16" s="28" t="s">
        <v>74</v>
      </c>
      <c r="O16" s="98" t="str">
        <f>IF(P16,"X","")</f>
        <v>X</v>
      </c>
      <c r="P16" s="65" t="b">
        <v>1</v>
      </c>
      <c r="Q16" s="11" t="s">
        <v>134</v>
      </c>
    </row>
    <row r="17" spans="1:12" ht="13.5" customHeight="1" hidden="1">
      <c r="A17" s="1"/>
      <c r="B17" s="3"/>
      <c r="C17" s="1"/>
      <c r="D17" s="4"/>
      <c r="E17" s="4"/>
      <c r="F17" s="1"/>
      <c r="G17" s="20"/>
      <c r="H17" s="1"/>
      <c r="I17" s="1"/>
      <c r="J17" s="1"/>
      <c r="K17" s="1"/>
      <c r="L17" s="12"/>
    </row>
    <row r="18" spans="1:12" ht="6.75" customHeight="1">
      <c r="A18" s="1"/>
      <c r="B18" s="3"/>
      <c r="C18" s="1"/>
      <c r="D18" s="4"/>
      <c r="E18" s="4"/>
      <c r="F18" s="1"/>
      <c r="G18" s="1"/>
      <c r="H18" s="1"/>
      <c r="I18" s="1"/>
      <c r="J18" s="1"/>
      <c r="K18" s="1"/>
      <c r="L18" s="12"/>
    </row>
    <row r="19" spans="1:12" ht="12.75">
      <c r="A19" s="1"/>
      <c r="B19" s="3" t="s">
        <v>40</v>
      </c>
      <c r="C19" s="1"/>
      <c r="D19" s="5"/>
      <c r="E19" s="1"/>
      <c r="F19" s="2"/>
      <c r="G19" s="2"/>
      <c r="H19" s="2"/>
      <c r="I19" s="2"/>
      <c r="J19" s="2"/>
      <c r="K19" s="1"/>
      <c r="L19" s="12"/>
    </row>
    <row r="20" spans="1:15" ht="12.75">
      <c r="A20" s="1"/>
      <c r="B20" s="85" t="s">
        <v>35</v>
      </c>
      <c r="C20" s="36" t="s">
        <v>101</v>
      </c>
      <c r="D20" s="15" t="s">
        <v>39</v>
      </c>
      <c r="E20" s="15" t="s">
        <v>93</v>
      </c>
      <c r="F20" s="34" t="s">
        <v>37</v>
      </c>
      <c r="G20" s="34" t="s">
        <v>92</v>
      </c>
      <c r="H20" s="15" t="s">
        <v>94</v>
      </c>
      <c r="I20" s="15" t="s">
        <v>91</v>
      </c>
      <c r="J20" s="64" t="s">
        <v>108</v>
      </c>
      <c r="K20" s="1"/>
      <c r="L20" s="66" t="s">
        <v>114</v>
      </c>
      <c r="M20" s="28" t="s">
        <v>95</v>
      </c>
      <c r="N20" s="69"/>
      <c r="O20" s="69"/>
    </row>
    <row r="21" spans="1:15" ht="12.75">
      <c r="A21" s="1"/>
      <c r="B21" s="166" t="s">
        <v>205</v>
      </c>
      <c r="C21" s="158">
        <v>1</v>
      </c>
      <c r="D21" s="159" t="s">
        <v>85</v>
      </c>
      <c r="E21" s="158">
        <v>176</v>
      </c>
      <c r="F21" s="160" t="e">
        <f>#REF!</f>
        <v>#REF!</v>
      </c>
      <c r="G21" s="37"/>
      <c r="H21" s="72">
        <f>IF(G21="","",IF(G21=$M$9,F21*#REF!,IF(D21=$M$2,VLOOKUP(G21,#REF!,3,FALSE),VLOOKUP(G21,#REF!,2,FALSE))))</f>
      </c>
      <c r="I21" s="73" t="e">
        <f>IF(D21="","",VLOOKUP(L21,#REF!,2,FALSE))</f>
        <v>#REF!</v>
      </c>
      <c r="J21" s="72" t="e">
        <f>IF(E21="","",IF(G21="",((C21*E21)*(F21)),(C21*E21)*(F21+H21)))</f>
        <v>#REF!</v>
      </c>
      <c r="K21" s="1" t="s">
        <v>139</v>
      </c>
      <c r="L21" s="70" t="str">
        <f>D21&amp;IF(OR(D21=$M$2,D21=$M$3),CHOOSE($L$8," "&amp;$M$14," "&amp;$M$15," "&amp;$M$16),"")</f>
        <v>Homem-hora PINI</v>
      </c>
      <c r="M21" s="74" t="e">
        <f>IF(I21="","",ROUND(I21*J21,2))</f>
        <v>#REF!</v>
      </c>
      <c r="N21" s="68"/>
      <c r="O21" s="68"/>
    </row>
    <row r="22" spans="1:15" ht="12.75">
      <c r="A22" s="1"/>
      <c r="B22" s="33" t="s">
        <v>218</v>
      </c>
      <c r="C22" s="152">
        <v>1</v>
      </c>
      <c r="D22" s="153" t="s">
        <v>85</v>
      </c>
      <c r="E22" s="152">
        <v>176</v>
      </c>
      <c r="F22" s="154" t="e">
        <f>#REF!</f>
        <v>#REF!</v>
      </c>
      <c r="G22" s="37"/>
      <c r="H22" s="72">
        <f>IF(G22="","",IF(G22=$M$9,F22*#REF!,IF(D22=$M$2,VLOOKUP(G22,#REF!,3,FALSE),VLOOKUP(G22,#REF!,2,FALSE))))</f>
      </c>
      <c r="I22" s="73" t="e">
        <f>IF(D22="","",VLOOKUP(L22,#REF!,2,FALSE))</f>
        <v>#REF!</v>
      </c>
      <c r="J22" s="72" t="e">
        <f>IF(E22="","",IF(G22="",((C22*E22)*(F22)),(C22*E22)*(F22+H22)))</f>
        <v>#REF!</v>
      </c>
      <c r="K22" s="1" t="s">
        <v>139</v>
      </c>
      <c r="L22" s="70" t="str">
        <f>D22&amp;IF(OR(D22=$M$2,D22=$M$3),CHOOSE($L$8," "&amp;$M$14," "&amp;$M$15," "&amp;$M$16),"")</f>
        <v>Homem-hora PINI</v>
      </c>
      <c r="M22" s="74" t="e">
        <f>IF(I22="","",ROUND(I22*J22,2))</f>
        <v>#REF!</v>
      </c>
      <c r="N22" s="68"/>
      <c r="O22" s="68"/>
    </row>
    <row r="23" spans="1:15" ht="12.75">
      <c r="A23" s="1"/>
      <c r="B23" s="167" t="s">
        <v>217</v>
      </c>
      <c r="C23" s="152">
        <v>1</v>
      </c>
      <c r="D23" s="153" t="s">
        <v>85</v>
      </c>
      <c r="E23" s="152">
        <v>176</v>
      </c>
      <c r="F23" s="154" t="e">
        <f>#REF!</f>
        <v>#REF!</v>
      </c>
      <c r="G23" s="37"/>
      <c r="H23" s="72">
        <f>IF(G23="","",IF(G23=$M$9,F23*#REF!,IF(D23=$M$2,VLOOKUP(G23,#REF!,3,FALSE),VLOOKUP(G23,#REF!,2,FALSE))))</f>
      </c>
      <c r="I23" s="73" t="e">
        <f>IF(D23="","",VLOOKUP(L23,#REF!,2,FALSE))</f>
        <v>#REF!</v>
      </c>
      <c r="J23" s="72" t="e">
        <f>IF(E23="","",IF(G23="",((C23*E23)*(F23)),(C23*E23)*(F23+H23)))</f>
        <v>#REF!</v>
      </c>
      <c r="K23" s="1" t="s">
        <v>139</v>
      </c>
      <c r="L23" s="70" t="str">
        <f>D23&amp;IF(OR(D23=$M$2,D23=$M$3),CHOOSE($L$8," "&amp;$M$14," "&amp;$M$15," "&amp;$M$16),"")</f>
        <v>Homem-hora PINI</v>
      </c>
      <c r="M23" s="74" t="e">
        <f>IF(I23="","",ROUND(I23*J23,2))</f>
        <v>#REF!</v>
      </c>
      <c r="N23" s="68"/>
      <c r="O23" s="68"/>
    </row>
    <row r="24" spans="1:15" ht="12.75">
      <c r="A24" s="1"/>
      <c r="B24" s="167" t="s">
        <v>216</v>
      </c>
      <c r="C24" s="152">
        <v>1</v>
      </c>
      <c r="D24" s="153" t="s">
        <v>85</v>
      </c>
      <c r="E24" s="152">
        <v>176</v>
      </c>
      <c r="F24" s="154" t="e">
        <f>#REF!</f>
        <v>#REF!</v>
      </c>
      <c r="G24" s="37"/>
      <c r="H24" s="72">
        <f>IF(G24="","",IF(G24=$M$9,F24*#REF!,IF(D24=$M$2,VLOOKUP(G24,#REF!,3,FALSE),VLOOKUP(G24,#REF!,2,FALSE))))</f>
      </c>
      <c r="I24" s="73" t="e">
        <f>IF(D24="","",VLOOKUP(L24,#REF!,2,FALSE))</f>
        <v>#REF!</v>
      </c>
      <c r="J24" s="72" t="e">
        <f>IF(E24="","",IF(G24="",((C24*E24)*(F24)),(C24*E24)*(F24+H24)))</f>
        <v>#REF!</v>
      </c>
      <c r="K24" s="1" t="s">
        <v>139</v>
      </c>
      <c r="L24" s="70" t="str">
        <f>D24&amp;IF(OR(D24=$M$2,D24=$M$3),CHOOSE($L$8," "&amp;$M$14," "&amp;$M$15," "&amp;$M$16),"")</f>
        <v>Homem-hora PINI</v>
      </c>
      <c r="M24" s="74" t="e">
        <f>IF(I24="","",ROUND(I24*J24,2))</f>
        <v>#REF!</v>
      </c>
      <c r="N24" s="68"/>
      <c r="O24" s="68"/>
    </row>
    <row r="25" spans="1:15" ht="12.75">
      <c r="A25" s="1"/>
      <c r="B25" s="151"/>
      <c r="C25" s="152"/>
      <c r="D25" s="153"/>
      <c r="E25" s="152"/>
      <c r="F25" s="154"/>
      <c r="G25" s="37"/>
      <c r="H25" s="72">
        <f>IF(G25="","",IF(G25=$M$9,F25*#REF!,IF(D25=$M$2,VLOOKUP(G25,#REF!,3,FALSE),VLOOKUP(G25,#REF!,2,FALSE))))</f>
      </c>
      <c r="I25" s="73">
        <f>IF(D25="","",VLOOKUP(L25,#REF!,2,FALSE))</f>
      </c>
      <c r="J25" s="72">
        <f>IF(E25="","",IF(G25="",((C25*E25)*(F25)),(C25*E25)*(F25+H25)))</f>
      </c>
      <c r="K25" s="1" t="s">
        <v>139</v>
      </c>
      <c r="L25" s="70">
        <f>D25&amp;IF(OR(D25=$M$2,D25=$M$3),CHOOSE($L$8," "&amp;$M$14," "&amp;$M$15," "&amp;$M$16),"")</f>
      </c>
      <c r="M25" s="74">
        <f>IF(I25="","",ROUND(I25*J25,2))</f>
      </c>
      <c r="N25" s="68"/>
      <c r="O25" s="68"/>
    </row>
    <row r="26" spans="1:12" ht="15" customHeight="1">
      <c r="A26" s="1"/>
      <c r="B26" s="566" t="s">
        <v>149</v>
      </c>
      <c r="C26" s="567"/>
      <c r="D26" s="567"/>
      <c r="E26" s="567"/>
      <c r="F26" s="567"/>
      <c r="G26" s="567"/>
      <c r="H26" s="567"/>
      <c r="I26" s="568"/>
      <c r="J26" s="87" t="e">
        <f>SUM(J21:J25)</f>
        <v>#REF!</v>
      </c>
      <c r="K26" s="1"/>
      <c r="L26" s="12"/>
    </row>
    <row r="27" spans="1:12" ht="12.75">
      <c r="A27" s="1"/>
      <c r="B27" s="596" t="s">
        <v>150</v>
      </c>
      <c r="C27" s="597"/>
      <c r="D27" s="597"/>
      <c r="E27" s="597"/>
      <c r="F27" s="597"/>
      <c r="G27" s="597"/>
      <c r="H27" s="597"/>
      <c r="I27" s="598"/>
      <c r="J27" s="77" t="e">
        <f>SUM(M21:M25)</f>
        <v>#REF!</v>
      </c>
      <c r="K27" s="1"/>
      <c r="L27" s="12"/>
    </row>
    <row r="28" spans="1:12" s="26" customFormat="1" ht="15">
      <c r="A28" s="3"/>
      <c r="B28" s="578" t="s">
        <v>53</v>
      </c>
      <c r="C28" s="579"/>
      <c r="D28" s="579"/>
      <c r="E28" s="579"/>
      <c r="F28" s="579"/>
      <c r="G28" s="579"/>
      <c r="H28" s="579"/>
      <c r="I28" s="580"/>
      <c r="J28" s="76" t="e">
        <f>SUM(J26:J27)</f>
        <v>#REF!</v>
      </c>
      <c r="K28" s="25"/>
      <c r="L28" s="33"/>
    </row>
    <row r="29" spans="1:12" ht="3.75" customHeight="1">
      <c r="A29" s="1"/>
      <c r="B29" s="1"/>
      <c r="C29" s="1"/>
      <c r="D29" s="1"/>
      <c r="E29" s="1"/>
      <c r="F29" s="2"/>
      <c r="G29" s="2"/>
      <c r="H29" s="2"/>
      <c r="I29" s="2"/>
      <c r="J29" s="2"/>
      <c r="K29" s="1"/>
      <c r="L29" s="12"/>
    </row>
    <row r="30" spans="1:11" ht="15" customHeight="1">
      <c r="A30" s="1"/>
      <c r="B30" s="3" t="s">
        <v>113</v>
      </c>
      <c r="C30" s="1"/>
      <c r="D30" s="1"/>
      <c r="E30" s="1"/>
      <c r="F30" s="2"/>
      <c r="G30" s="2"/>
      <c r="H30" s="2"/>
      <c r="I30" s="2"/>
      <c r="J30" s="2"/>
      <c r="K30" s="6"/>
    </row>
    <row r="31" spans="1:11" ht="12.75">
      <c r="A31" s="1"/>
      <c r="B31" s="585" t="s">
        <v>35</v>
      </c>
      <c r="C31" s="599"/>
      <c r="D31" s="586"/>
      <c r="E31" s="16" t="s">
        <v>123</v>
      </c>
      <c r="F31" s="15" t="s">
        <v>36</v>
      </c>
      <c r="G31" s="562" t="s">
        <v>37</v>
      </c>
      <c r="H31" s="562"/>
      <c r="I31" s="562" t="s">
        <v>38</v>
      </c>
      <c r="J31" s="562"/>
      <c r="K31" s="1"/>
    </row>
    <row r="32" spans="1:11" s="13" customFormat="1" ht="12.75" customHeight="1">
      <c r="A32" s="1"/>
      <c r="B32" s="593"/>
      <c r="C32" s="594"/>
      <c r="D32" s="595"/>
      <c r="E32" s="82"/>
      <c r="F32" s="86"/>
      <c r="G32" s="551"/>
      <c r="H32" s="552"/>
      <c r="I32" s="543">
        <f>IF(G32="","",F32*G32)</f>
      </c>
      <c r="J32" s="544"/>
      <c r="K32" s="1"/>
    </row>
    <row r="33" spans="1:11" ht="12.75" customHeight="1">
      <c r="A33" s="1"/>
      <c r="B33" s="593"/>
      <c r="C33" s="594"/>
      <c r="D33" s="595"/>
      <c r="E33" s="82"/>
      <c r="F33" s="86"/>
      <c r="G33" s="551"/>
      <c r="H33" s="552"/>
      <c r="I33" s="543">
        <f>IF(G33="","",F33*G33)</f>
      </c>
      <c r="J33" s="544"/>
      <c r="K33" s="1"/>
    </row>
    <row r="34" spans="1:12" ht="15">
      <c r="A34" s="6"/>
      <c r="B34" s="559" t="s">
        <v>116</v>
      </c>
      <c r="C34" s="560"/>
      <c r="D34" s="560"/>
      <c r="E34" s="560"/>
      <c r="F34" s="560"/>
      <c r="G34" s="560"/>
      <c r="H34" s="561"/>
      <c r="I34" s="550">
        <f>SUM(I$32:I$33)</f>
        <v>0</v>
      </c>
      <c r="J34" s="550"/>
      <c r="K34" s="1"/>
      <c r="L34" s="12"/>
    </row>
    <row r="35" spans="1:12" ht="4.5" customHeight="1">
      <c r="A35" s="1"/>
      <c r="B35" s="1"/>
      <c r="C35" s="1"/>
      <c r="D35" s="1"/>
      <c r="E35" s="1"/>
      <c r="F35" s="2"/>
      <c r="G35" s="2"/>
      <c r="H35" s="2"/>
      <c r="I35" s="2"/>
      <c r="J35" s="2"/>
      <c r="K35" s="1"/>
      <c r="L35" s="12"/>
    </row>
    <row r="36" spans="1:11" ht="15" customHeight="1">
      <c r="A36" s="1"/>
      <c r="B36" s="3" t="s">
        <v>112</v>
      </c>
      <c r="C36" s="1"/>
      <c r="D36" s="1"/>
      <c r="E36" s="1"/>
      <c r="F36" s="2"/>
      <c r="G36" s="2"/>
      <c r="H36" s="2"/>
      <c r="I36" s="2"/>
      <c r="J36" s="2"/>
      <c r="K36" s="6"/>
    </row>
    <row r="37" spans="1:11" ht="12.75">
      <c r="A37" s="1"/>
      <c r="B37" s="585" t="s">
        <v>35</v>
      </c>
      <c r="C37" s="599"/>
      <c r="D37" s="586"/>
      <c r="E37" s="16" t="s">
        <v>123</v>
      </c>
      <c r="F37" s="16" t="s">
        <v>36</v>
      </c>
      <c r="G37" s="548" t="s">
        <v>37</v>
      </c>
      <c r="H37" s="549"/>
      <c r="I37" s="548" t="s">
        <v>38</v>
      </c>
      <c r="J37" s="549"/>
      <c r="K37" s="1"/>
    </row>
    <row r="38" spans="1:11" s="13" customFormat="1" ht="12.75" customHeight="1">
      <c r="A38" s="1"/>
      <c r="B38" s="593" t="s">
        <v>177</v>
      </c>
      <c r="C38" s="594"/>
      <c r="D38" s="595"/>
      <c r="E38" s="82" t="s">
        <v>178</v>
      </c>
      <c r="F38" s="86">
        <v>1</v>
      </c>
      <c r="G38" s="551">
        <v>500</v>
      </c>
      <c r="H38" s="552"/>
      <c r="I38" s="543">
        <f>IF(G38="","",F38*G38)</f>
        <v>500</v>
      </c>
      <c r="J38" s="544"/>
      <c r="K38" s="1"/>
    </row>
    <row r="39" spans="1:11" ht="12.75" customHeight="1">
      <c r="A39" s="1"/>
      <c r="B39" s="593"/>
      <c r="C39" s="594"/>
      <c r="D39" s="595"/>
      <c r="E39" s="82"/>
      <c r="F39" s="86"/>
      <c r="G39" s="551"/>
      <c r="H39" s="552"/>
      <c r="I39" s="543">
        <f>IF(G39="","",F39*G39)</f>
      </c>
      <c r="J39" s="544"/>
      <c r="K39" s="1"/>
    </row>
    <row r="40" spans="1:12" ht="15">
      <c r="A40" s="6"/>
      <c r="B40" s="559" t="s">
        <v>115</v>
      </c>
      <c r="C40" s="560"/>
      <c r="D40" s="560"/>
      <c r="E40" s="560"/>
      <c r="F40" s="560"/>
      <c r="G40" s="560"/>
      <c r="H40" s="561"/>
      <c r="I40" s="540">
        <f>SUM(I$38:I$39)</f>
        <v>500</v>
      </c>
      <c r="J40" s="541"/>
      <c r="K40" s="1"/>
      <c r="L40" s="12"/>
    </row>
    <row r="41" spans="1:12" ht="4.5" customHeight="1">
      <c r="A41" s="7"/>
      <c r="B41" s="17"/>
      <c r="C41" s="17"/>
      <c r="D41" s="17"/>
      <c r="E41" s="17"/>
      <c r="F41" s="17"/>
      <c r="G41" s="17"/>
      <c r="H41" s="2"/>
      <c r="I41" s="2"/>
      <c r="J41" s="2"/>
      <c r="K41" s="1"/>
      <c r="L41" s="12"/>
    </row>
    <row r="42" spans="1:12" ht="15">
      <c r="A42" s="1"/>
      <c r="B42" s="3" t="s">
        <v>48</v>
      </c>
      <c r="C42" s="1"/>
      <c r="D42" s="1"/>
      <c r="E42" s="1"/>
      <c r="F42" s="2"/>
      <c r="G42" s="2"/>
      <c r="H42" s="587" t="s">
        <v>124</v>
      </c>
      <c r="I42" s="2"/>
      <c r="J42" s="2"/>
      <c r="K42" s="6"/>
      <c r="L42" s="12"/>
    </row>
    <row r="43" spans="1:12" ht="12.75">
      <c r="A43" s="1"/>
      <c r="B43" s="585" t="s">
        <v>35</v>
      </c>
      <c r="C43" s="586"/>
      <c r="D43" s="15" t="s">
        <v>123</v>
      </c>
      <c r="E43" s="15" t="s">
        <v>93</v>
      </c>
      <c r="F43" s="548" t="s">
        <v>37</v>
      </c>
      <c r="G43" s="549"/>
      <c r="H43" s="588"/>
      <c r="I43" s="548" t="s">
        <v>38</v>
      </c>
      <c r="J43" s="549"/>
      <c r="K43" s="1"/>
      <c r="L43" s="12"/>
    </row>
    <row r="44" spans="1:14" s="13" customFormat="1" ht="12.75" customHeight="1">
      <c r="A44" s="1"/>
      <c r="B44" s="591" t="s">
        <v>169</v>
      </c>
      <c r="C44" s="592"/>
      <c r="D44" s="155" t="s">
        <v>173</v>
      </c>
      <c r="E44" s="86">
        <v>1</v>
      </c>
      <c r="F44" s="589">
        <v>300</v>
      </c>
      <c r="G44" s="590"/>
      <c r="H44" s="88">
        <v>0</v>
      </c>
      <c r="I44" s="543">
        <f>IF(F44="","",ROUND((E44*F44)-(H44),2))</f>
        <v>300</v>
      </c>
      <c r="J44" s="544"/>
      <c r="K44" s="1"/>
      <c r="L44" s="12"/>
      <c r="M44" s="11"/>
      <c r="N44" s="11"/>
    </row>
    <row r="45" spans="1:14" ht="12.75" customHeight="1">
      <c r="A45" s="1"/>
      <c r="B45" s="583" t="s">
        <v>170</v>
      </c>
      <c r="C45" s="584"/>
      <c r="D45" s="155" t="s">
        <v>171</v>
      </c>
      <c r="E45" s="86">
        <v>1</v>
      </c>
      <c r="F45" s="589" t="e">
        <f>#REF!+#REF!</f>
        <v>#REF!</v>
      </c>
      <c r="G45" s="590"/>
      <c r="H45" s="89">
        <v>0</v>
      </c>
      <c r="I45" s="543" t="e">
        <f>IF(F45="","",ROUND((E45*F45)-(H45),2))</f>
        <v>#REF!</v>
      </c>
      <c r="J45" s="544"/>
      <c r="K45" s="1"/>
      <c r="L45" s="29"/>
      <c r="M45" s="13"/>
      <c r="N45" s="13"/>
    </row>
    <row r="46" spans="1:14" ht="12.75" customHeight="1">
      <c r="A46" s="1"/>
      <c r="B46" s="583" t="s">
        <v>172</v>
      </c>
      <c r="C46" s="584"/>
      <c r="D46" s="156" t="s">
        <v>176</v>
      </c>
      <c r="E46" s="86">
        <v>120</v>
      </c>
      <c r="F46" s="589">
        <v>5</v>
      </c>
      <c r="G46" s="590"/>
      <c r="H46" s="89">
        <v>0</v>
      </c>
      <c r="I46" s="543">
        <f>IF(F46="","",ROUND((E46*F46)-(H46),2))</f>
        <v>600</v>
      </c>
      <c r="J46" s="544"/>
      <c r="K46" s="1"/>
      <c r="L46" s="29"/>
      <c r="M46" s="13"/>
      <c r="N46" s="13"/>
    </row>
    <row r="47" spans="1:14" ht="12.75" customHeight="1">
      <c r="A47" s="1"/>
      <c r="B47" s="583"/>
      <c r="C47" s="584"/>
      <c r="D47" s="156"/>
      <c r="E47" s="86"/>
      <c r="F47" s="589"/>
      <c r="G47" s="590"/>
      <c r="H47" s="89">
        <v>0</v>
      </c>
      <c r="I47" s="543">
        <f>IF(F47="","",ROUND((E47*F47)-(H47),2))</f>
      </c>
      <c r="J47" s="544"/>
      <c r="K47" s="1"/>
      <c r="L47" s="29"/>
      <c r="M47" s="13"/>
      <c r="N47" s="13"/>
    </row>
    <row r="48" spans="1:14" ht="12.75" customHeight="1">
      <c r="A48" s="1"/>
      <c r="B48" s="583"/>
      <c r="C48" s="584"/>
      <c r="D48" s="156"/>
      <c r="E48" s="86"/>
      <c r="F48" s="589"/>
      <c r="G48" s="590"/>
      <c r="H48" s="89">
        <v>0</v>
      </c>
      <c r="I48" s="543">
        <f>IF(F48="","",ROUND((E48*F48)-(H48),2))</f>
      </c>
      <c r="J48" s="544"/>
      <c r="K48" s="1"/>
      <c r="L48" s="29"/>
      <c r="M48" s="13"/>
      <c r="N48" s="13"/>
    </row>
    <row r="49" spans="1:12" ht="15">
      <c r="A49" s="7"/>
      <c r="B49" s="600" t="s">
        <v>52</v>
      </c>
      <c r="C49" s="601"/>
      <c r="D49" s="601"/>
      <c r="E49" s="601"/>
      <c r="F49" s="601"/>
      <c r="G49" s="601"/>
      <c r="H49" s="602"/>
      <c r="I49" s="550" t="e">
        <f>SUM(I$44:I$48)</f>
        <v>#REF!</v>
      </c>
      <c r="J49" s="550"/>
      <c r="K49" s="1"/>
      <c r="L49" s="12"/>
    </row>
    <row r="50" spans="1:12" ht="4.5" customHeight="1">
      <c r="A50" s="7"/>
      <c r="B50" s="17"/>
      <c r="C50" s="17"/>
      <c r="D50" s="17"/>
      <c r="E50" s="17"/>
      <c r="F50" s="17"/>
      <c r="G50" s="17"/>
      <c r="H50" s="2"/>
      <c r="I50" s="2"/>
      <c r="J50" s="2"/>
      <c r="K50" s="1"/>
      <c r="L50" s="12"/>
    </row>
    <row r="51" spans="1:12" ht="15" customHeight="1">
      <c r="A51" s="1"/>
      <c r="B51" s="3" t="s">
        <v>122</v>
      </c>
      <c r="C51" s="17"/>
      <c r="D51" s="17"/>
      <c r="E51" s="17"/>
      <c r="F51" s="17"/>
      <c r="G51" s="17"/>
      <c r="H51" s="2"/>
      <c r="I51" s="2"/>
      <c r="J51" s="2"/>
      <c r="K51" s="1"/>
      <c r="L51" s="12"/>
    </row>
    <row r="52" spans="1:12" ht="12.75">
      <c r="A52" s="1"/>
      <c r="B52" s="83" t="s">
        <v>121</v>
      </c>
      <c r="C52" s="15"/>
      <c r="D52" s="15"/>
      <c r="E52" s="16" t="s">
        <v>123</v>
      </c>
      <c r="F52" s="16" t="s">
        <v>36</v>
      </c>
      <c r="G52" s="562" t="s">
        <v>37</v>
      </c>
      <c r="H52" s="562"/>
      <c r="I52" s="548" t="s">
        <v>38</v>
      </c>
      <c r="J52" s="549"/>
      <c r="K52" s="1"/>
      <c r="L52" s="12"/>
    </row>
    <row r="53" spans="1:14" s="13" customFormat="1" ht="12.75" customHeight="1">
      <c r="A53" s="1"/>
      <c r="B53" s="603"/>
      <c r="C53" s="604"/>
      <c r="D53" s="605"/>
      <c r="E53" s="84"/>
      <c r="F53" s="86"/>
      <c r="G53" s="542"/>
      <c r="H53" s="542"/>
      <c r="I53" s="543">
        <f>IF(G53="","",F53*G53)</f>
      </c>
      <c r="J53" s="544"/>
      <c r="K53" s="1"/>
      <c r="L53" s="12"/>
      <c r="M53" s="11"/>
      <c r="N53" s="11"/>
    </row>
    <row r="54" spans="1:14" ht="12.75" customHeight="1">
      <c r="A54" s="1"/>
      <c r="B54" s="603"/>
      <c r="C54" s="604"/>
      <c r="D54" s="605"/>
      <c r="E54" s="84"/>
      <c r="F54" s="86"/>
      <c r="G54" s="542"/>
      <c r="H54" s="542"/>
      <c r="I54" s="543">
        <f>IF(G54="","",F54*G54)</f>
      </c>
      <c r="J54" s="544"/>
      <c r="K54" s="1"/>
      <c r="L54" s="29"/>
      <c r="M54" s="13"/>
      <c r="N54" s="13"/>
    </row>
    <row r="55" spans="1:12" ht="15" customHeight="1">
      <c r="A55" s="1"/>
      <c r="B55" s="559" t="s">
        <v>120</v>
      </c>
      <c r="C55" s="560"/>
      <c r="D55" s="560"/>
      <c r="E55" s="560"/>
      <c r="F55" s="560"/>
      <c r="G55" s="560"/>
      <c r="H55" s="561"/>
      <c r="I55" s="540">
        <f>SUM(I$53:I$54)</f>
        <v>0</v>
      </c>
      <c r="J55" s="541"/>
      <c r="K55" s="1"/>
      <c r="L55" s="12"/>
    </row>
    <row r="56" spans="1:12" ht="4.5" customHeight="1">
      <c r="A56" s="7"/>
      <c r="B56" s="17"/>
      <c r="C56" s="17"/>
      <c r="D56" s="17"/>
      <c r="E56" s="17"/>
      <c r="F56" s="17"/>
      <c r="G56" s="17"/>
      <c r="H56" s="2"/>
      <c r="I56" s="2"/>
      <c r="J56" s="2"/>
      <c r="K56" s="1"/>
      <c r="L56" s="12"/>
    </row>
    <row r="57" spans="1:12" ht="15" customHeight="1">
      <c r="A57" s="1"/>
      <c r="B57" s="113" t="str">
        <f>IF(O15="","D","E")&amp;". Total Custo Direto"</f>
        <v>E. Total Custo Direto</v>
      </c>
      <c r="C57" s="17"/>
      <c r="D57" s="17"/>
      <c r="E57" s="17"/>
      <c r="F57" s="17"/>
      <c r="G57" s="17"/>
      <c r="H57" s="2"/>
      <c r="I57" s="2"/>
      <c r="J57" s="2"/>
      <c r="K57" s="1"/>
      <c r="L57" s="12"/>
    </row>
    <row r="58" spans="1:12" ht="15">
      <c r="A58" s="1"/>
      <c r="B58" s="559" t="str">
        <f>"Total de A + Total de B + Total de C"&amp;IF(O15&lt;&gt;""," + Total de D","")&amp;" ="</f>
        <v>Total de A + Total de B + Total de C + Total de D =</v>
      </c>
      <c r="C58" s="560"/>
      <c r="D58" s="560"/>
      <c r="E58" s="560"/>
      <c r="F58" s="560"/>
      <c r="G58" s="560"/>
      <c r="H58" s="561"/>
      <c r="I58" s="540" t="e">
        <f>SUM(J28,equipamentos_valor,materiais_valor,insumos_valor,admin_valor)</f>
        <v>#REF!</v>
      </c>
      <c r="J58" s="541"/>
      <c r="K58" s="7"/>
      <c r="L58" s="12"/>
    </row>
    <row r="59" spans="1:12" ht="4.5" customHeight="1">
      <c r="A59" s="1"/>
      <c r="B59" s="1"/>
      <c r="C59" s="1"/>
      <c r="D59" s="1"/>
      <c r="E59" s="1"/>
      <c r="F59" s="2"/>
      <c r="G59" s="2"/>
      <c r="H59" s="2"/>
      <c r="I59" s="2"/>
      <c r="J59" s="2"/>
      <c r="K59" s="1"/>
      <c r="L59" s="12"/>
    </row>
    <row r="60" spans="1:14" s="14" customFormat="1" ht="14.25">
      <c r="A60" s="1"/>
      <c r="B60" s="35" t="str">
        <f>IF(O15="","E","F")&amp;". BDI"</f>
        <v>F. BDI</v>
      </c>
      <c r="C60" s="606"/>
      <c r="D60" s="606"/>
      <c r="E60" s="18"/>
      <c r="F60" s="18"/>
      <c r="G60" s="18"/>
      <c r="H60" s="18"/>
      <c r="I60" s="18"/>
      <c r="J60" s="18"/>
      <c r="K60" s="1"/>
      <c r="L60" s="12"/>
      <c r="M60" s="11"/>
      <c r="N60" s="11"/>
    </row>
    <row r="61" spans="1:14" ht="14.25">
      <c r="A61" s="1"/>
      <c r="B61" s="571" t="s">
        <v>51</v>
      </c>
      <c r="C61" s="572"/>
      <c r="D61" s="572"/>
      <c r="E61" s="572"/>
      <c r="F61" s="572"/>
      <c r="G61" s="572"/>
      <c r="H61" s="573"/>
      <c r="I61" s="574" t="e">
        <f>ROUND(I58*I80,2)</f>
        <v>#REF!</v>
      </c>
      <c r="J61" s="574"/>
      <c r="K61" s="1"/>
      <c r="L61" s="30"/>
      <c r="M61" s="14"/>
      <c r="N61" s="14"/>
    </row>
    <row r="62" spans="1:12" ht="15" customHeight="1">
      <c r="A62" s="1"/>
      <c r="B62" s="571" t="s">
        <v>50</v>
      </c>
      <c r="C62" s="572"/>
      <c r="D62" s="572"/>
      <c r="E62" s="572"/>
      <c r="F62" s="572"/>
      <c r="G62" s="572"/>
      <c r="H62" s="573"/>
      <c r="I62" s="574" t="e">
        <f>ROUND((I58+I61)*I81,2)</f>
        <v>#REF!</v>
      </c>
      <c r="J62" s="574"/>
      <c r="K62" s="1"/>
      <c r="L62" s="12"/>
    </row>
    <row r="63" spans="1:12" ht="12.75">
      <c r="A63" s="1"/>
      <c r="B63" s="571" t="s">
        <v>42</v>
      </c>
      <c r="C63" s="572"/>
      <c r="D63" s="572"/>
      <c r="E63" s="572"/>
      <c r="F63" s="572"/>
      <c r="G63" s="572"/>
      <c r="H63" s="573"/>
      <c r="I63" s="574" t="e">
        <f>ROUND(I67*SUM(I84,I85,I86,I88),2)</f>
        <v>#REF!</v>
      </c>
      <c r="J63" s="574"/>
      <c r="K63" s="1"/>
      <c r="L63" s="12"/>
    </row>
    <row r="64" spans="1:12" ht="15">
      <c r="A64" s="1"/>
      <c r="B64" s="575" t="str">
        <f>"Total de "&amp;IF(O15="","E","F")&amp;" ="</f>
        <v>Total de F =</v>
      </c>
      <c r="C64" s="576"/>
      <c r="D64" s="576"/>
      <c r="E64" s="576"/>
      <c r="F64" s="576"/>
      <c r="G64" s="576"/>
      <c r="H64" s="577"/>
      <c r="I64" s="550" t="e">
        <f>SUM(I61:I63)</f>
        <v>#REF!</v>
      </c>
      <c r="J64" s="550"/>
      <c r="K64" s="1"/>
      <c r="L64" s="75"/>
    </row>
    <row r="65" spans="1:12" ht="14.25">
      <c r="A65" s="7"/>
      <c r="B65" s="578" t="s">
        <v>58</v>
      </c>
      <c r="C65" s="579"/>
      <c r="D65" s="579"/>
      <c r="E65" s="579"/>
      <c r="F65" s="579"/>
      <c r="G65" s="579"/>
      <c r="H65" s="580"/>
      <c r="I65" s="569">
        <f>IF(ISERROR(I67/I58),"",ROUND((I67/I58)-1,6))</f>
      </c>
      <c r="J65" s="570"/>
      <c r="K65" s="1"/>
      <c r="L65" s="12"/>
    </row>
    <row r="66" spans="1:12" ht="7.5" customHeight="1">
      <c r="A66" s="1"/>
      <c r="B66" s="1"/>
      <c r="C66" s="8"/>
      <c r="D66" s="1"/>
      <c r="E66" s="9"/>
      <c r="F66" s="1"/>
      <c r="G66" s="10"/>
      <c r="H66" s="10"/>
      <c r="I66" s="10"/>
      <c r="J66" s="10"/>
      <c r="K66" s="1"/>
      <c r="L66" s="12"/>
    </row>
    <row r="67" spans="1:12" ht="15">
      <c r="A67" s="7"/>
      <c r="B67" s="575" t="str">
        <f>"Total "&amp;IF(N8=N3,"(mensal )","")&amp;" ("&amp;IF(O15="","Total D + Total E","Total E + Total F")&amp;") ="</f>
        <v>Total (mensal ) (Total E + Total F) =</v>
      </c>
      <c r="C67" s="576"/>
      <c r="D67" s="576"/>
      <c r="E67" s="576"/>
      <c r="F67" s="576"/>
      <c r="G67" s="576"/>
      <c r="H67" s="577"/>
      <c r="I67" s="540" t="e">
        <f>ROUND((I58+I61+I62)/(1-SUM(I84,I85,I86,I88)),2)</f>
        <v>#REF!</v>
      </c>
      <c r="J67" s="541"/>
      <c r="K67" s="7"/>
      <c r="L67" s="12"/>
    </row>
    <row r="68" spans="1:12" ht="7.5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7"/>
      <c r="L68" s="12"/>
    </row>
    <row r="69" spans="1:12" ht="14.25">
      <c r="A69" s="7"/>
      <c r="B69" s="3" t="str">
        <f>IF(O15="","F","G")&amp;". Despesas Reembolsáveis (VERBA)"</f>
        <v>G. Despesas Reembolsáveis (VERBA)</v>
      </c>
      <c r="C69" s="1"/>
      <c r="D69" s="1"/>
      <c r="E69" s="1"/>
      <c r="F69" s="2"/>
      <c r="G69" s="2"/>
      <c r="H69" s="2"/>
      <c r="I69" s="2"/>
      <c r="J69" s="2"/>
      <c r="K69" s="7"/>
      <c r="L69" s="12"/>
    </row>
    <row r="70" spans="1:12" ht="12.75" customHeight="1">
      <c r="A70" s="7"/>
      <c r="B70" s="562" t="s">
        <v>35</v>
      </c>
      <c r="C70" s="562"/>
      <c r="D70" s="562"/>
      <c r="E70" s="562" t="s">
        <v>39</v>
      </c>
      <c r="F70" s="562"/>
      <c r="G70" s="562" t="s">
        <v>37</v>
      </c>
      <c r="H70" s="562"/>
      <c r="I70" s="562" t="s">
        <v>38</v>
      </c>
      <c r="J70" s="562"/>
      <c r="K70" s="7"/>
      <c r="L70" s="12"/>
    </row>
    <row r="71" spans="1:12" ht="12.75" customHeight="1">
      <c r="A71" s="7"/>
      <c r="B71" s="581"/>
      <c r="C71" s="581"/>
      <c r="D71" s="581"/>
      <c r="E71" s="582"/>
      <c r="F71" s="582"/>
      <c r="G71" s="542"/>
      <c r="H71" s="542"/>
      <c r="I71" s="543">
        <f>IF(G71="","",IF(E71=$N$16,G71,ROUND(G71*$E$12,2)))</f>
      </c>
      <c r="J71" s="544"/>
      <c r="K71" s="7"/>
      <c r="L71" s="12"/>
    </row>
    <row r="72" spans="1:12" ht="12.75" customHeight="1">
      <c r="A72" s="7"/>
      <c r="B72" s="581"/>
      <c r="C72" s="581"/>
      <c r="D72" s="581"/>
      <c r="E72" s="582"/>
      <c r="F72" s="582"/>
      <c r="G72" s="542"/>
      <c r="H72" s="542"/>
      <c r="I72" s="543">
        <f>IF(G72="","",IF(E72=$N$16,G72,ROUND(G72*$E$12,2)))</f>
      </c>
      <c r="J72" s="544"/>
      <c r="K72" s="7"/>
      <c r="L72" s="12"/>
    </row>
    <row r="73" spans="1:15" s="14" customFormat="1" ht="15">
      <c r="A73" s="7"/>
      <c r="B73" s="600" t="str">
        <f>"Total de "&amp;IF(O15="","F","G")&amp;" ="</f>
        <v>Total de G =</v>
      </c>
      <c r="C73" s="601"/>
      <c r="D73" s="601"/>
      <c r="E73" s="601"/>
      <c r="F73" s="601"/>
      <c r="G73" s="601"/>
      <c r="H73" s="602"/>
      <c r="I73" s="540">
        <f>SUM(I$71:I$72)</f>
        <v>0</v>
      </c>
      <c r="J73" s="541"/>
      <c r="K73" s="7"/>
      <c r="L73" s="12"/>
      <c r="M73" s="11"/>
      <c r="N73" s="11"/>
      <c r="O73" s="11"/>
    </row>
    <row r="74" spans="1:12" ht="7.5" customHeight="1">
      <c r="A74" s="7"/>
      <c r="B74" s="1"/>
      <c r="C74" s="1"/>
      <c r="D74" s="1"/>
      <c r="E74" s="1"/>
      <c r="F74" s="1"/>
      <c r="G74" s="1"/>
      <c r="H74" s="1"/>
      <c r="I74" s="1"/>
      <c r="J74" s="1"/>
      <c r="K74" s="7"/>
      <c r="L74" s="12"/>
    </row>
    <row r="75" spans="1:14" ht="15">
      <c r="A75" s="7"/>
      <c r="B75" s="559" t="str">
        <f>"Total do Item "&amp;IF(N8=N3,"(Total Mensal X "&amp;D12&amp;IF(O16="",""," + Total de "&amp;IF(O15="","F","G"))&amp;")","("&amp;IF(O15="","Total D + Total E","Total E + Total F")&amp;IF(O16="","",IF(O15=""," + Total de F"," + Total de G"))&amp;")")&amp;" ="</f>
        <v>Total do Item (Total Mensal X Duração do Contrato: + Total de G) =</v>
      </c>
      <c r="C75" s="560"/>
      <c r="D75" s="560"/>
      <c r="E75" s="560"/>
      <c r="F75" s="560"/>
      <c r="G75" s="560"/>
      <c r="H75" s="561"/>
      <c r="I75" s="540" t="e">
        <f>IF(N8=N3,ROUND(E12*I67,2)+I73,I67+I73)</f>
        <v>#REF!</v>
      </c>
      <c r="J75" s="541"/>
      <c r="K75" s="7"/>
      <c r="L75" s="12"/>
      <c r="N75" s="161" t="e">
        <f>I67*E12</f>
        <v>#REF!</v>
      </c>
    </row>
    <row r="76" spans="1:12" ht="14.25">
      <c r="A76" s="7"/>
      <c r="B76" s="1"/>
      <c r="C76" s="1"/>
      <c r="D76" s="1"/>
      <c r="E76" s="1"/>
      <c r="F76" s="2"/>
      <c r="G76" s="2"/>
      <c r="H76" s="2"/>
      <c r="I76" s="2"/>
      <c r="J76" s="2"/>
      <c r="K76" s="2"/>
      <c r="L76" s="12"/>
    </row>
    <row r="77" ht="8.25" customHeight="1"/>
    <row r="78" spans="1:11" ht="18">
      <c r="A78" s="1"/>
      <c r="B78" s="545" t="s">
        <v>32</v>
      </c>
      <c r="C78" s="545"/>
      <c r="D78" s="545"/>
      <c r="E78" s="545"/>
      <c r="F78" s="545"/>
      <c r="G78" s="545"/>
      <c r="H78" s="545"/>
      <c r="I78" s="545"/>
      <c r="J78" s="545"/>
      <c r="K78" s="25"/>
    </row>
    <row r="79" spans="1:11" ht="12.75">
      <c r="A79" s="1"/>
      <c r="B79" s="1"/>
      <c r="C79" s="2"/>
      <c r="D79" s="17"/>
      <c r="E79" s="25"/>
      <c r="F79" s="25"/>
      <c r="G79" s="25"/>
      <c r="H79" s="25"/>
      <c r="I79" s="25"/>
      <c r="J79" s="25"/>
      <c r="K79" s="25"/>
    </row>
    <row r="80" spans="1:11" ht="12.75">
      <c r="A80" s="1"/>
      <c r="B80" s="608" t="s">
        <v>109</v>
      </c>
      <c r="C80" s="609"/>
      <c r="D80" s="609"/>
      <c r="E80" s="609"/>
      <c r="F80" s="609"/>
      <c r="G80" s="609"/>
      <c r="H80" s="610"/>
      <c r="I80" s="607">
        <f>SUM(J10:J11)</f>
        <v>0.027</v>
      </c>
      <c r="J80" s="607"/>
      <c r="K80" s="25"/>
    </row>
    <row r="81" spans="1:11" ht="12.75">
      <c r="A81" s="1"/>
      <c r="B81" s="608" t="s">
        <v>31</v>
      </c>
      <c r="C81" s="609"/>
      <c r="D81" s="609"/>
      <c r="E81" s="609"/>
      <c r="F81" s="609"/>
      <c r="G81" s="609"/>
      <c r="H81" s="610"/>
      <c r="I81" s="607">
        <f>J12</f>
        <v>0.08</v>
      </c>
      <c r="J81" s="607"/>
      <c r="K81" s="25"/>
    </row>
    <row r="82" spans="1:12" ht="7.5" customHeight="1">
      <c r="A82" s="1"/>
      <c r="B82" s="1"/>
      <c r="C82" s="8"/>
      <c r="D82" s="1"/>
      <c r="E82" s="9"/>
      <c r="F82" s="1"/>
      <c r="G82" s="10"/>
      <c r="H82" s="10"/>
      <c r="I82" s="10"/>
      <c r="J82" s="10"/>
      <c r="K82" s="1"/>
      <c r="L82" s="12"/>
    </row>
    <row r="83" spans="1:11" ht="12.75">
      <c r="A83" s="1"/>
      <c r="B83" s="95" t="s">
        <v>42</v>
      </c>
      <c r="C83" s="96"/>
      <c r="D83" s="96"/>
      <c r="E83" s="96"/>
      <c r="F83" s="96"/>
      <c r="G83" s="96"/>
      <c r="H83" s="96"/>
      <c r="I83" s="96"/>
      <c r="J83" s="97"/>
      <c r="K83" s="25"/>
    </row>
    <row r="84" spans="1:11" ht="12.75">
      <c r="A84" s="1"/>
      <c r="B84" s="611" t="str">
        <f>IF(O10=2,"PIS não cumulativa excluídos os materiais utilizados no local","PIS")</f>
        <v>PIS não cumulativa excluídos os materiais utilizados no local</v>
      </c>
      <c r="C84" s="612"/>
      <c r="D84" s="612"/>
      <c r="E84" s="612"/>
      <c r="F84" s="612"/>
      <c r="G84" s="612"/>
      <c r="H84" s="613"/>
      <c r="I84" s="614" t="e">
        <f>IF(O10=2,(pis_valor*M88),pis_valor)</f>
        <v>#REF!</v>
      </c>
      <c r="J84" s="614"/>
      <c r="K84" s="25"/>
    </row>
    <row r="85" spans="1:11" ht="12.75">
      <c r="A85" s="1"/>
      <c r="B85" s="611" t="str">
        <f>IF(B84="PIS","COFINS","COFINS não cumulativa excluídos os materiais utilizados no local")</f>
        <v>COFINS não cumulativa excluídos os materiais utilizados no local</v>
      </c>
      <c r="C85" s="612"/>
      <c r="D85" s="612"/>
      <c r="E85" s="612"/>
      <c r="F85" s="612"/>
      <c r="G85" s="612"/>
      <c r="H85" s="613"/>
      <c r="I85" s="614" t="e">
        <f>IF(O10=2,(cofins_valor*M88),cofins_valor)</f>
        <v>#REF!</v>
      </c>
      <c r="J85" s="614"/>
      <c r="K85" s="25"/>
    </row>
    <row r="86" spans="1:11" ht="12.75" customHeight="1" hidden="1">
      <c r="A86" s="1"/>
      <c r="B86" s="94" t="s">
        <v>30</v>
      </c>
      <c r="C86" s="94"/>
      <c r="D86" s="94"/>
      <c r="E86" s="94"/>
      <c r="F86" s="94"/>
      <c r="G86" s="94"/>
      <c r="H86" s="94"/>
      <c r="I86" s="614">
        <v>0</v>
      </c>
      <c r="J86" s="614"/>
      <c r="K86" s="25"/>
    </row>
    <row r="87" spans="1:13" ht="11.25" customHeight="1">
      <c r="A87" s="1"/>
      <c r="B87" s="1"/>
      <c r="C87" s="8"/>
      <c r="D87" s="1"/>
      <c r="E87" s="9"/>
      <c r="F87" s="1"/>
      <c r="G87" s="10"/>
      <c r="H87" s="10"/>
      <c r="I87" s="10"/>
      <c r="J87" s="10"/>
      <c r="K87" s="1"/>
      <c r="L87" s="79" t="s">
        <v>117</v>
      </c>
      <c r="M87" s="79" t="s">
        <v>118</v>
      </c>
    </row>
    <row r="88" spans="1:13" ht="12.75">
      <c r="A88" s="1"/>
      <c r="B88" s="611" t="e">
        <f>IF(I88=J14,"Imposto Sobre Serviço","Imposto Sobre Serviços excluídos os materiais aplicados no local")</f>
        <v>#REF!</v>
      </c>
      <c r="C88" s="612"/>
      <c r="D88" s="612"/>
      <c r="E88" s="612"/>
      <c r="F88" s="612"/>
      <c r="G88" s="612"/>
      <c r="H88" s="613"/>
      <c r="I88" s="614" t="e">
        <f>IF(O13="",J14,IF(O14="",J14,L88))</f>
        <v>#REF!</v>
      </c>
      <c r="J88" s="614"/>
      <c r="K88" s="25"/>
      <c r="L88" s="80" t="e">
        <f>J14*M88</f>
        <v>#REF!</v>
      </c>
      <c r="M88" s="66" t="e">
        <f>IF(I58&gt;0,1-(materiais_valor/I58),1)</f>
        <v>#REF!</v>
      </c>
    </row>
    <row r="89" spans="1:11" ht="12.75">
      <c r="A89" s="1"/>
      <c r="B89" s="19" t="s">
        <v>151</v>
      </c>
      <c r="C89" s="17"/>
      <c r="D89" s="1"/>
      <c r="E89" s="25"/>
      <c r="F89" s="25"/>
      <c r="G89" s="25"/>
      <c r="H89" s="25"/>
      <c r="I89" s="25"/>
      <c r="J89" s="25"/>
      <c r="K89" s="25"/>
    </row>
    <row r="90" ht="12.75"/>
  </sheetData>
  <sheetProtection/>
  <mergeCells count="113">
    <mergeCell ref="H10:I10"/>
    <mergeCell ref="H11:I11"/>
    <mergeCell ref="H12:I12"/>
    <mergeCell ref="H13:I13"/>
    <mergeCell ref="H14:I14"/>
    <mergeCell ref="B33:D33"/>
    <mergeCell ref="I31:J31"/>
    <mergeCell ref="I32:J32"/>
    <mergeCell ref="B32:D32"/>
    <mergeCell ref="B48:C48"/>
    <mergeCell ref="F48:G48"/>
    <mergeCell ref="I48:J48"/>
    <mergeCell ref="B46:C46"/>
    <mergeCell ref="F46:G46"/>
    <mergeCell ref="I46:J46"/>
    <mergeCell ref="B47:C47"/>
    <mergeCell ref="F47:G47"/>
    <mergeCell ref="I47:J47"/>
    <mergeCell ref="B84:H84"/>
    <mergeCell ref="B85:H85"/>
    <mergeCell ref="B88:H88"/>
    <mergeCell ref="B78:J78"/>
    <mergeCell ref="I88:J88"/>
    <mergeCell ref="I86:J86"/>
    <mergeCell ref="I81:J81"/>
    <mergeCell ref="I84:J84"/>
    <mergeCell ref="I85:J85"/>
    <mergeCell ref="B81:H81"/>
    <mergeCell ref="C60:D60"/>
    <mergeCell ref="B61:H61"/>
    <mergeCell ref="B62:H62"/>
    <mergeCell ref="I80:J80"/>
    <mergeCell ref="B73:H73"/>
    <mergeCell ref="B75:H75"/>
    <mergeCell ref="B80:H80"/>
    <mergeCell ref="I75:J75"/>
    <mergeCell ref="I73:J73"/>
    <mergeCell ref="E72:F72"/>
    <mergeCell ref="B58:H58"/>
    <mergeCell ref="B55:H55"/>
    <mergeCell ref="B49:H49"/>
    <mergeCell ref="G52:H52"/>
    <mergeCell ref="B53:D53"/>
    <mergeCell ref="G53:H53"/>
    <mergeCell ref="B54:D54"/>
    <mergeCell ref="I44:J44"/>
    <mergeCell ref="B40:H40"/>
    <mergeCell ref="B28:I28"/>
    <mergeCell ref="B39:D39"/>
    <mergeCell ref="G39:H39"/>
    <mergeCell ref="B27:I27"/>
    <mergeCell ref="B37:D37"/>
    <mergeCell ref="B38:D38"/>
    <mergeCell ref="I38:J38"/>
    <mergeCell ref="B31:D31"/>
    <mergeCell ref="I53:J53"/>
    <mergeCell ref="B45:C45"/>
    <mergeCell ref="B43:C43"/>
    <mergeCell ref="H42:H43"/>
    <mergeCell ref="F45:G45"/>
    <mergeCell ref="F43:G43"/>
    <mergeCell ref="F44:G44"/>
    <mergeCell ref="B44:C44"/>
    <mergeCell ref="I43:J43"/>
    <mergeCell ref="I49:J49"/>
    <mergeCell ref="G72:H72"/>
    <mergeCell ref="B64:H64"/>
    <mergeCell ref="B65:H65"/>
    <mergeCell ref="B67:H67"/>
    <mergeCell ref="B72:D72"/>
    <mergeCell ref="B71:D71"/>
    <mergeCell ref="B70:D70"/>
    <mergeCell ref="E71:F71"/>
    <mergeCell ref="G70:H70"/>
    <mergeCell ref="G71:H71"/>
    <mergeCell ref="I72:J72"/>
    <mergeCell ref="I64:J64"/>
    <mergeCell ref="I63:J63"/>
    <mergeCell ref="I61:J61"/>
    <mergeCell ref="I62:J62"/>
    <mergeCell ref="I70:J70"/>
    <mergeCell ref="I67:J67"/>
    <mergeCell ref="I71:J71"/>
    <mergeCell ref="E70:F70"/>
    <mergeCell ref="E6:J6"/>
    <mergeCell ref="G31:H31"/>
    <mergeCell ref="I15:I16"/>
    <mergeCell ref="B26:I26"/>
    <mergeCell ref="C6:D6"/>
    <mergeCell ref="I65:J65"/>
    <mergeCell ref="B63:H63"/>
    <mergeCell ref="I52:J52"/>
    <mergeCell ref="I45:J45"/>
    <mergeCell ref="G37:H37"/>
    <mergeCell ref="I39:J39"/>
    <mergeCell ref="G38:H38"/>
    <mergeCell ref="E4:J4"/>
    <mergeCell ref="L6:L7"/>
    <mergeCell ref="H8:J9"/>
    <mergeCell ref="G33:H33"/>
    <mergeCell ref="G32:H32"/>
    <mergeCell ref="I33:J33"/>
    <mergeCell ref="B34:H34"/>
    <mergeCell ref="I58:J58"/>
    <mergeCell ref="I55:J55"/>
    <mergeCell ref="G54:H54"/>
    <mergeCell ref="I54:J54"/>
    <mergeCell ref="C2:J2"/>
    <mergeCell ref="C4:D4"/>
    <mergeCell ref="C8:D8"/>
    <mergeCell ref="I40:J40"/>
    <mergeCell ref="I37:J37"/>
    <mergeCell ref="I34:J34"/>
  </mergeCells>
  <conditionalFormatting sqref="B75 I75">
    <cfRule type="cellIs" priority="1" dxfId="0" operator="equal" stopIfTrue="1">
      <formula>""</formula>
    </cfRule>
  </conditionalFormatting>
  <conditionalFormatting sqref="O14">
    <cfRule type="expression" priority="2" dxfId="0" stopIfTrue="1">
      <formula>$C$13&lt;&gt;$N$14</formula>
    </cfRule>
  </conditionalFormatting>
  <conditionalFormatting sqref="J15:J16">
    <cfRule type="expression" priority="3" dxfId="1" stopIfTrue="1">
      <formula>$O$10&lt;3</formula>
    </cfRule>
  </conditionalFormatting>
  <conditionalFormatting sqref="E10">
    <cfRule type="expression" priority="4" dxfId="0" stopIfTrue="1">
      <formula>$D$10=""</formula>
    </cfRule>
  </conditionalFormatting>
  <dataValidations count="6">
    <dataValidation type="list" allowBlank="1" showInputMessage="1" showErrorMessage="1" sqref="E71:E72">
      <formula1>$N$15:$N$16</formula1>
    </dataValidation>
    <dataValidation type="list" allowBlank="1" showInputMessage="1" showErrorMessage="1" sqref="D21:D25">
      <formula1>$M$2:$M$5</formula1>
    </dataValidation>
    <dataValidation type="list" allowBlank="1" showInputMessage="1" showErrorMessage="1" sqref="G21:G25">
      <formula1>$M$9:$M$12</formula1>
    </dataValidation>
    <dataValidation type="list" allowBlank="1" showInputMessage="1" showErrorMessage="1" sqref="J13">
      <formula1>$L$2:$L$4</formula1>
    </dataValidation>
    <dataValidation operator="lessThanOrEqual" allowBlank="1" showInputMessage="1" showErrorMessage="1" sqref="J14"/>
    <dataValidation type="list" allowBlank="1" showInputMessage="1" showErrorMessage="1" sqref="F12">
      <formula1>$P$2:$P$4</formula1>
    </dataValidation>
  </dataValidations>
  <printOptions/>
  <pageMargins left="0.2362204724409449" right="0.15748031496062992" top="0.3937007874015748" bottom="0.3937007874015748" header="0.1968503937007874" footer="0.1968503937007874"/>
  <pageSetup blackAndWhite="1" horizontalDpi="300" verticalDpi="300" orientation="portrait" paperSize="9" scale="90"/>
  <headerFooter alignWithMargins="0">
    <oddHeader>&amp;C&amp;F</oddHeader>
    <oddFooter>&amp;L&amp;A&amp;R&amp;P.&amp;N</oddFooter>
  </headerFooter>
  <rowBreaks count="1" manualBreakCount="1">
    <brk id="76" max="255" man="1"/>
  </rowBreaks>
  <ignoredErrors>
    <ignoredError sqref="N8" unlockedFormula="1"/>
    <ignoredError sqref="I80" formulaRange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8:F8"/>
  <sheetViews>
    <sheetView showGridLines="0" showRowColHeaders="0" tabSelected="1" zoomScalePageLayoutView="0" workbookViewId="0" topLeftCell="A1">
      <selection activeCell="A1" sqref="A1:IV16384"/>
    </sheetView>
  </sheetViews>
  <sheetFormatPr defaultColWidth="0" defaultRowHeight="12.75" zeroHeight="1"/>
  <cols>
    <col min="1" max="26" width="9.140625" style="307" customWidth="1"/>
    <col min="27" max="16384" width="0" style="307" hidden="1" customWidth="1"/>
  </cols>
  <sheetData>
    <row r="1" ht="12.75"/>
    <row r="2" ht="12.75"/>
    <row r="3" ht="12.75"/>
    <row r="4" ht="12.75"/>
    <row r="5" ht="12.75"/>
    <row r="6" ht="12.75"/>
    <row r="7" ht="12.75"/>
    <row r="8" ht="12.75">
      <c r="F8" s="308"/>
    </row>
    <row r="9" ht="12.75"/>
    <row r="10" ht="12.75"/>
    <row r="11" ht="12.75"/>
    <row r="12" ht="12.75"/>
    <row r="13" ht="12.75"/>
    <row r="14" ht="12.75"/>
    <row r="15" ht="12.75"/>
    <row r="16" ht="12.75"/>
    <row r="17" s="307" customFormat="1" ht="12.75"/>
    <row r="18" s="307" customFormat="1" ht="12.75"/>
    <row r="19" s="307" customFormat="1" ht="12.75"/>
    <row r="20" s="307" customFormat="1" ht="12.75"/>
    <row r="21" s="307" customFormat="1" ht="12.75"/>
    <row r="22" s="307" customFormat="1" ht="12.75"/>
    <row r="23" s="307" customFormat="1" ht="12.75"/>
    <row r="24" s="307" customFormat="1" ht="12.75"/>
    <row r="25" s="307" customFormat="1" ht="12.75"/>
    <row r="26" s="307" customFormat="1" ht="12.75"/>
    <row r="27" s="307" customFormat="1" ht="12.75"/>
    <row r="28" s="307" customFormat="1" ht="12.75"/>
    <row r="29" s="307" customFormat="1" ht="12.75"/>
    <row r="30" s="307" customFormat="1" ht="12.75"/>
    <row r="31" s="307" customFormat="1" ht="12.75"/>
    <row r="32" s="307" customFormat="1" ht="12.75"/>
    <row r="33" s="307" customFormat="1" ht="12.75"/>
    <row r="34" s="307" customFormat="1" ht="12.75"/>
    <row r="35" s="307" customFormat="1" ht="12.75"/>
    <row r="36" s="307" customFormat="1" ht="12.75"/>
    <row r="37" s="307" customFormat="1" ht="12.75"/>
    <row r="38" s="307" customFormat="1" ht="12.75"/>
    <row r="39" s="307" customFormat="1" ht="12.75"/>
    <row r="40" s="307" customFormat="1" ht="12.75"/>
    <row r="41" s="307" customFormat="1" ht="12.75"/>
    <row r="42" s="307" customFormat="1" ht="12.75"/>
    <row r="43" s="307" customFormat="1" ht="12.75"/>
    <row r="44" s="307" customFormat="1" ht="12.75"/>
    <row r="45" s="307" customFormat="1" ht="12.75"/>
    <row r="46" s="307" customFormat="1" ht="12.75"/>
    <row r="47" s="307" customFormat="1" ht="12.75"/>
    <row r="48" s="307" customFormat="1" ht="12.75"/>
  </sheetData>
  <sheetProtection password="F181" sheet="1" objects="1" scenarios="1" selectLockedCells="1"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4:H8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7" width="9.140625" style="309" customWidth="1"/>
    <col min="8" max="8" width="88.8515625" style="309" customWidth="1"/>
    <col min="9" max="17" width="9.140625" style="309" customWidth="1"/>
    <col min="18" max="16384" width="0" style="309" hidden="1" customWidth="1"/>
  </cols>
  <sheetData>
    <row r="1" ht="12.75"/>
    <row r="2" ht="12.75"/>
    <row r="3" ht="12.75"/>
    <row r="4" ht="12.75">
      <c r="H4" s="310"/>
    </row>
    <row r="5" ht="12.75">
      <c r="H5" s="310"/>
    </row>
    <row r="6" ht="12.75">
      <c r="H6" s="310"/>
    </row>
    <row r="7" ht="12.75">
      <c r="H7" s="310"/>
    </row>
    <row r="8" ht="12.75">
      <c r="H8" s="310"/>
    </row>
    <row r="9" ht="12.75"/>
    <row r="10" ht="12.75"/>
    <row r="11" ht="12.75"/>
    <row r="12" ht="12.75"/>
    <row r="13" ht="12.75"/>
    <row r="14" ht="12.75"/>
    <row r="15" ht="12.75"/>
    <row r="16" ht="12.75"/>
    <row r="17" s="309" customFormat="1" ht="12.75"/>
    <row r="18" s="309" customFormat="1" ht="12.75"/>
    <row r="19" s="309" customFormat="1" ht="12.75"/>
    <row r="20" s="309" customFormat="1" ht="12.75"/>
    <row r="21" s="309" customFormat="1" ht="12.75"/>
    <row r="22" s="309" customFormat="1" ht="12.75"/>
    <row r="23" s="309" customFormat="1" ht="12.75"/>
    <row r="24" s="309" customFormat="1" ht="12.75"/>
    <row r="25" s="309" customFormat="1" ht="12.75"/>
    <row r="26" s="309" customFormat="1" ht="12.75"/>
    <row r="27" s="309" customFormat="1" ht="12.75"/>
    <row r="28" s="309" customFormat="1" ht="12.75"/>
    <row r="29" s="309" customFormat="1" ht="12.75"/>
    <row r="30" s="309" customFormat="1" ht="12.75"/>
    <row r="31" s="309" customFormat="1" ht="12.75"/>
    <row r="32" s="309" customFormat="1" ht="12.75"/>
    <row r="33" s="309" customFormat="1" ht="12.75"/>
    <row r="34" s="309" customFormat="1" ht="12.75"/>
    <row r="35" s="309" customFormat="1" ht="12.75"/>
    <row r="36" s="309" customFormat="1" ht="12.75"/>
    <row r="37" s="309" customFormat="1" ht="12.75"/>
    <row r="38" s="309" customFormat="1" ht="12.75"/>
    <row r="39" s="309" customFormat="1" ht="12.75"/>
    <row r="40" s="309" customFormat="1" ht="12.75"/>
    <row r="41" s="309" customFormat="1" ht="12.75"/>
    <row r="42" s="309" customFormat="1" ht="12.75"/>
    <row r="43" s="309" customFormat="1" ht="12.75"/>
    <row r="44" s="309" customFormat="1" ht="12.75"/>
    <row r="45" s="309" customFormat="1" ht="12.75"/>
    <row r="46" s="309" customFormat="1" ht="12.75"/>
    <row r="47" s="309" customFormat="1" ht="12.75"/>
    <row r="48" s="309" customFormat="1" ht="12.75"/>
  </sheetData>
  <sheetProtection password="F181" sheet="1" objects="1" scenarios="1" selectLockedCells="1"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J7:Q128"/>
  <sheetViews>
    <sheetView showGridLines="0" zoomScale="85" zoomScaleNormal="85" zoomScalePageLayoutView="0" workbookViewId="0" topLeftCell="A1">
      <selection activeCell="N103" sqref="N103"/>
    </sheetView>
  </sheetViews>
  <sheetFormatPr defaultColWidth="0" defaultRowHeight="12.75" zeroHeight="1"/>
  <cols>
    <col min="1" max="9" width="11.421875" style="316" customWidth="1"/>
    <col min="10" max="10" width="6.140625" style="316" customWidth="1"/>
    <col min="11" max="11" width="31.8515625" style="317" customWidth="1"/>
    <col min="12" max="12" width="6.421875" style="316" customWidth="1"/>
    <col min="13" max="13" width="5.8515625" style="316" customWidth="1"/>
    <col min="14" max="14" width="12.00390625" style="316" bestFit="1" customWidth="1"/>
    <col min="15" max="15" width="9.57421875" style="318" customWidth="1"/>
    <col min="16" max="16" width="17.57421875" style="318" customWidth="1"/>
    <col min="17" max="23" width="11.421875" style="316" customWidth="1"/>
    <col min="24" max="16384" width="0" style="316" hidden="1" customWidth="1"/>
  </cols>
  <sheetData>
    <row r="1" ht="12.75"/>
    <row r="2" ht="12.75"/>
    <row r="3" ht="63.75" customHeight="1"/>
    <row r="4" ht="15" customHeight="1"/>
    <row r="5" ht="25.5" customHeight="1"/>
    <row r="6" ht="47.25" customHeight="1"/>
    <row r="7" spans="11:16" ht="34.5" customHeight="1">
      <c r="K7" s="621" t="s">
        <v>279</v>
      </c>
      <c r="L7" s="621"/>
      <c r="M7" s="621"/>
      <c r="N7" s="621"/>
      <c r="O7" s="621"/>
      <c r="P7" s="621"/>
    </row>
    <row r="8" spans="10:16" ht="37.5" customHeight="1">
      <c r="J8" s="319" t="s">
        <v>154</v>
      </c>
      <c r="K8" s="320" t="s">
        <v>364</v>
      </c>
      <c r="L8" s="321" t="s">
        <v>176</v>
      </c>
      <c r="M8" s="321" t="s">
        <v>405</v>
      </c>
      <c r="N8" s="321" t="s">
        <v>406</v>
      </c>
      <c r="O8" s="322" t="s">
        <v>407</v>
      </c>
      <c r="P8" s="323" t="s">
        <v>408</v>
      </c>
    </row>
    <row r="9" spans="10:16" ht="41.25" customHeight="1">
      <c r="J9" s="324">
        <v>1</v>
      </c>
      <c r="K9" s="325" t="s">
        <v>365</v>
      </c>
      <c r="L9" s="326" t="s">
        <v>176</v>
      </c>
      <c r="M9" s="313">
        <v>1</v>
      </c>
      <c r="N9" s="311">
        <v>52.51</v>
      </c>
      <c r="O9" s="324">
        <v>1</v>
      </c>
      <c r="P9" s="327">
        <f aca="true" t="shared" si="0" ref="P9:P50">N9/O9</f>
        <v>52.51</v>
      </c>
    </row>
    <row r="10" spans="10:16" ht="41.25" customHeight="1">
      <c r="J10" s="324">
        <f>J9+1</f>
        <v>2</v>
      </c>
      <c r="K10" s="325" t="s">
        <v>366</v>
      </c>
      <c r="L10" s="326" t="s">
        <v>176</v>
      </c>
      <c r="M10" s="314">
        <v>1</v>
      </c>
      <c r="N10" s="311">
        <v>325</v>
      </c>
      <c r="O10" s="324">
        <v>1</v>
      </c>
      <c r="P10" s="327">
        <f t="shared" si="0"/>
        <v>325</v>
      </c>
    </row>
    <row r="11" spans="10:16" ht="41.25" customHeight="1">
      <c r="J11" s="324">
        <f aca="true" t="shared" si="1" ref="J11:J50">J10+1</f>
        <v>3</v>
      </c>
      <c r="K11" s="325" t="s">
        <v>367</v>
      </c>
      <c r="L11" s="326" t="s">
        <v>176</v>
      </c>
      <c r="M11" s="314">
        <v>1</v>
      </c>
      <c r="N11" s="311">
        <v>155.8</v>
      </c>
      <c r="O11" s="324">
        <v>1</v>
      </c>
      <c r="P11" s="327">
        <f t="shared" si="0"/>
        <v>155.8</v>
      </c>
    </row>
    <row r="12" spans="10:16" ht="41.25" customHeight="1">
      <c r="J12" s="324">
        <f t="shared" si="1"/>
        <v>4</v>
      </c>
      <c r="K12" s="325" t="s">
        <v>368</v>
      </c>
      <c r="L12" s="326" t="s">
        <v>176</v>
      </c>
      <c r="M12" s="314">
        <v>1</v>
      </c>
      <c r="N12" s="311">
        <v>232</v>
      </c>
      <c r="O12" s="324">
        <v>1</v>
      </c>
      <c r="P12" s="327">
        <f t="shared" si="0"/>
        <v>232</v>
      </c>
    </row>
    <row r="13" spans="10:16" ht="41.25" customHeight="1">
      <c r="J13" s="324">
        <f t="shared" si="1"/>
        <v>5</v>
      </c>
      <c r="K13" s="325" t="s">
        <v>369</v>
      </c>
      <c r="L13" s="326" t="s">
        <v>176</v>
      </c>
      <c r="M13" s="314">
        <v>1</v>
      </c>
      <c r="N13" s="311">
        <v>155.8</v>
      </c>
      <c r="O13" s="324">
        <v>1</v>
      </c>
      <c r="P13" s="327">
        <f t="shared" si="0"/>
        <v>155.8</v>
      </c>
    </row>
    <row r="14" spans="10:16" ht="41.25" customHeight="1">
      <c r="J14" s="324">
        <f t="shared" si="1"/>
        <v>6</v>
      </c>
      <c r="K14" s="325" t="s">
        <v>370</v>
      </c>
      <c r="L14" s="326" t="s">
        <v>176</v>
      </c>
      <c r="M14" s="314">
        <v>1</v>
      </c>
      <c r="N14" s="311">
        <v>360.7</v>
      </c>
      <c r="O14" s="324">
        <v>1</v>
      </c>
      <c r="P14" s="327">
        <f t="shared" si="0"/>
        <v>360.7</v>
      </c>
    </row>
    <row r="15" spans="10:16" ht="41.25" customHeight="1">
      <c r="J15" s="324">
        <f t="shared" si="1"/>
        <v>7</v>
      </c>
      <c r="K15" s="325" t="s">
        <v>371</v>
      </c>
      <c r="L15" s="326" t="s">
        <v>176</v>
      </c>
      <c r="M15" s="314">
        <v>1</v>
      </c>
      <c r="N15" s="311">
        <v>491.06</v>
      </c>
      <c r="O15" s="324">
        <v>1</v>
      </c>
      <c r="P15" s="327">
        <f t="shared" si="0"/>
        <v>491.06</v>
      </c>
    </row>
    <row r="16" spans="10:16" ht="41.25" customHeight="1">
      <c r="J16" s="324">
        <f t="shared" si="1"/>
        <v>8</v>
      </c>
      <c r="K16" s="325" t="s">
        <v>372</v>
      </c>
      <c r="L16" s="326" t="s">
        <v>176</v>
      </c>
      <c r="M16" s="314">
        <v>1</v>
      </c>
      <c r="N16" s="311">
        <v>154.5</v>
      </c>
      <c r="O16" s="324">
        <v>1</v>
      </c>
      <c r="P16" s="327">
        <f t="shared" si="0"/>
        <v>154.5</v>
      </c>
    </row>
    <row r="17" spans="10:16" ht="41.25" customHeight="1">
      <c r="J17" s="324">
        <f t="shared" si="1"/>
        <v>9</v>
      </c>
      <c r="K17" s="325" t="s">
        <v>373</v>
      </c>
      <c r="L17" s="326" t="s">
        <v>176</v>
      </c>
      <c r="M17" s="314">
        <v>1</v>
      </c>
      <c r="N17" s="311">
        <v>22</v>
      </c>
      <c r="O17" s="324">
        <v>1</v>
      </c>
      <c r="P17" s="327">
        <f t="shared" si="0"/>
        <v>22</v>
      </c>
    </row>
    <row r="18" spans="10:16" ht="41.25" customHeight="1">
      <c r="J18" s="324">
        <f t="shared" si="1"/>
        <v>10</v>
      </c>
      <c r="K18" s="328" t="s">
        <v>374</v>
      </c>
      <c r="L18" s="326" t="s">
        <v>176</v>
      </c>
      <c r="M18" s="314">
        <v>1</v>
      </c>
      <c r="N18" s="311">
        <v>350</v>
      </c>
      <c r="O18" s="324">
        <v>1</v>
      </c>
      <c r="P18" s="327">
        <f t="shared" si="0"/>
        <v>350</v>
      </c>
    </row>
    <row r="19" spans="10:16" ht="41.25" customHeight="1">
      <c r="J19" s="324">
        <f t="shared" si="1"/>
        <v>11</v>
      </c>
      <c r="K19" s="328" t="s">
        <v>376</v>
      </c>
      <c r="L19" s="326" t="s">
        <v>176</v>
      </c>
      <c r="M19" s="314">
        <v>1</v>
      </c>
      <c r="N19" s="311">
        <v>259</v>
      </c>
      <c r="O19" s="324">
        <v>1</v>
      </c>
      <c r="P19" s="327">
        <f t="shared" si="0"/>
        <v>259</v>
      </c>
    </row>
    <row r="20" spans="10:16" ht="41.25" customHeight="1">
      <c r="J20" s="324">
        <f t="shared" si="1"/>
        <v>12</v>
      </c>
      <c r="K20" s="325" t="s">
        <v>377</v>
      </c>
      <c r="L20" s="326" t="s">
        <v>176</v>
      </c>
      <c r="M20" s="314">
        <v>1</v>
      </c>
      <c r="N20" s="311">
        <v>205</v>
      </c>
      <c r="O20" s="324">
        <v>1</v>
      </c>
      <c r="P20" s="327">
        <f t="shared" si="0"/>
        <v>205</v>
      </c>
    </row>
    <row r="21" spans="10:16" ht="41.25" customHeight="1">
      <c r="J21" s="324">
        <f t="shared" si="1"/>
        <v>13</v>
      </c>
      <c r="K21" s="325" t="s">
        <v>378</v>
      </c>
      <c r="L21" s="326" t="s">
        <v>176</v>
      </c>
      <c r="M21" s="314">
        <v>1</v>
      </c>
      <c r="N21" s="311">
        <v>49</v>
      </c>
      <c r="O21" s="324">
        <v>1</v>
      </c>
      <c r="P21" s="327">
        <f t="shared" si="0"/>
        <v>49</v>
      </c>
    </row>
    <row r="22" spans="10:16" ht="41.25" customHeight="1">
      <c r="J22" s="324">
        <f t="shared" si="1"/>
        <v>14</v>
      </c>
      <c r="K22" s="325" t="s">
        <v>379</v>
      </c>
      <c r="L22" s="326" t="s">
        <v>176</v>
      </c>
      <c r="M22" s="314">
        <v>1</v>
      </c>
      <c r="N22" s="311">
        <v>33.17</v>
      </c>
      <c r="O22" s="324">
        <v>1</v>
      </c>
      <c r="P22" s="327">
        <f t="shared" si="0"/>
        <v>33.17</v>
      </c>
    </row>
    <row r="23" spans="10:16" ht="41.25" customHeight="1">
      <c r="J23" s="324">
        <f t="shared" si="1"/>
        <v>15</v>
      </c>
      <c r="K23" s="325" t="s">
        <v>380</v>
      </c>
      <c r="L23" s="326" t="s">
        <v>176</v>
      </c>
      <c r="M23" s="314">
        <v>1</v>
      </c>
      <c r="N23" s="311">
        <v>28.41</v>
      </c>
      <c r="O23" s="324">
        <v>1</v>
      </c>
      <c r="P23" s="327">
        <f t="shared" si="0"/>
        <v>28.41</v>
      </c>
    </row>
    <row r="24" spans="10:16" ht="41.25" customHeight="1">
      <c r="J24" s="324">
        <f t="shared" si="1"/>
        <v>16</v>
      </c>
      <c r="K24" s="325" t="s">
        <v>381</v>
      </c>
      <c r="L24" s="326" t="s">
        <v>176</v>
      </c>
      <c r="M24" s="314">
        <v>1</v>
      </c>
      <c r="N24" s="311">
        <v>25</v>
      </c>
      <c r="O24" s="324">
        <v>1</v>
      </c>
      <c r="P24" s="327">
        <f t="shared" si="0"/>
        <v>25</v>
      </c>
    </row>
    <row r="25" spans="10:16" ht="41.25" customHeight="1">
      <c r="J25" s="324">
        <f t="shared" si="1"/>
        <v>17</v>
      </c>
      <c r="K25" s="325" t="s">
        <v>382</v>
      </c>
      <c r="L25" s="326" t="s">
        <v>176</v>
      </c>
      <c r="M25" s="314">
        <v>1</v>
      </c>
      <c r="N25" s="311">
        <v>25.21</v>
      </c>
      <c r="O25" s="324">
        <v>1</v>
      </c>
      <c r="P25" s="327">
        <f t="shared" si="0"/>
        <v>25.21</v>
      </c>
    </row>
    <row r="26" spans="10:16" ht="41.25" customHeight="1">
      <c r="J26" s="324">
        <f t="shared" si="1"/>
        <v>18</v>
      </c>
      <c r="K26" s="325" t="s">
        <v>383</v>
      </c>
      <c r="L26" s="326" t="s">
        <v>176</v>
      </c>
      <c r="M26" s="314">
        <v>1</v>
      </c>
      <c r="N26" s="311">
        <v>18.53</v>
      </c>
      <c r="O26" s="324">
        <v>1</v>
      </c>
      <c r="P26" s="327">
        <f t="shared" si="0"/>
        <v>18.53</v>
      </c>
    </row>
    <row r="27" spans="10:16" ht="41.25" customHeight="1">
      <c r="J27" s="324">
        <f t="shared" si="1"/>
        <v>19</v>
      </c>
      <c r="K27" s="325" t="s">
        <v>384</v>
      </c>
      <c r="L27" s="326" t="s">
        <v>176</v>
      </c>
      <c r="M27" s="314">
        <v>1</v>
      </c>
      <c r="N27" s="311">
        <v>50.25</v>
      </c>
      <c r="O27" s="324">
        <v>1</v>
      </c>
      <c r="P27" s="327">
        <f t="shared" si="0"/>
        <v>50.25</v>
      </c>
    </row>
    <row r="28" spans="10:16" ht="41.25" customHeight="1">
      <c r="J28" s="324">
        <f t="shared" si="1"/>
        <v>20</v>
      </c>
      <c r="K28" s="325" t="s">
        <v>385</v>
      </c>
      <c r="L28" s="326" t="s">
        <v>176</v>
      </c>
      <c r="M28" s="314">
        <v>1</v>
      </c>
      <c r="N28" s="311">
        <v>50.25</v>
      </c>
      <c r="O28" s="324">
        <v>1</v>
      </c>
      <c r="P28" s="327">
        <f t="shared" si="0"/>
        <v>50.25</v>
      </c>
    </row>
    <row r="29" spans="10:16" ht="41.25" customHeight="1">
      <c r="J29" s="324">
        <f t="shared" si="1"/>
        <v>21</v>
      </c>
      <c r="K29" s="325" t="s">
        <v>386</v>
      </c>
      <c r="L29" s="326" t="s">
        <v>176</v>
      </c>
      <c r="M29" s="314">
        <v>1</v>
      </c>
      <c r="N29" s="311">
        <v>50.25</v>
      </c>
      <c r="O29" s="324">
        <v>1</v>
      </c>
      <c r="P29" s="327">
        <f t="shared" si="0"/>
        <v>50.25</v>
      </c>
    </row>
    <row r="30" spans="10:16" ht="41.25" customHeight="1">
      <c r="J30" s="324">
        <f t="shared" si="1"/>
        <v>22</v>
      </c>
      <c r="K30" s="325" t="s">
        <v>387</v>
      </c>
      <c r="L30" s="326" t="s">
        <v>176</v>
      </c>
      <c r="M30" s="314">
        <v>1</v>
      </c>
      <c r="N30" s="311">
        <v>50.25</v>
      </c>
      <c r="O30" s="324">
        <v>1</v>
      </c>
      <c r="P30" s="327">
        <f t="shared" si="0"/>
        <v>50.25</v>
      </c>
    </row>
    <row r="31" spans="10:16" ht="41.25" customHeight="1">
      <c r="J31" s="324">
        <f t="shared" si="1"/>
        <v>23</v>
      </c>
      <c r="K31" s="325" t="s">
        <v>388</v>
      </c>
      <c r="L31" s="326" t="s">
        <v>176</v>
      </c>
      <c r="M31" s="314">
        <v>1</v>
      </c>
      <c r="N31" s="311">
        <v>50.25</v>
      </c>
      <c r="O31" s="324">
        <v>1</v>
      </c>
      <c r="P31" s="327">
        <f t="shared" si="0"/>
        <v>50.25</v>
      </c>
    </row>
    <row r="32" spans="10:16" ht="41.25" customHeight="1">
      <c r="J32" s="324">
        <f t="shared" si="1"/>
        <v>24</v>
      </c>
      <c r="K32" s="325" t="s">
        <v>389</v>
      </c>
      <c r="L32" s="326" t="s">
        <v>176</v>
      </c>
      <c r="M32" s="314">
        <v>1</v>
      </c>
      <c r="N32" s="311">
        <v>50.25</v>
      </c>
      <c r="O32" s="324">
        <v>1</v>
      </c>
      <c r="P32" s="327">
        <f t="shared" si="0"/>
        <v>50.25</v>
      </c>
    </row>
    <row r="33" spans="10:16" ht="41.25" customHeight="1">
      <c r="J33" s="324">
        <f t="shared" si="1"/>
        <v>25</v>
      </c>
      <c r="K33" s="325" t="s">
        <v>390</v>
      </c>
      <c r="L33" s="326" t="s">
        <v>176</v>
      </c>
      <c r="M33" s="314">
        <v>1</v>
      </c>
      <c r="N33" s="311">
        <v>37.5</v>
      </c>
      <c r="O33" s="324">
        <v>1</v>
      </c>
      <c r="P33" s="327">
        <f t="shared" si="0"/>
        <v>37.5</v>
      </c>
    </row>
    <row r="34" spans="10:16" ht="41.25" customHeight="1">
      <c r="J34" s="324">
        <f t="shared" si="1"/>
        <v>26</v>
      </c>
      <c r="K34" s="325" t="s">
        <v>391</v>
      </c>
      <c r="L34" s="326" t="s">
        <v>176</v>
      </c>
      <c r="M34" s="314">
        <v>1</v>
      </c>
      <c r="N34" s="311">
        <v>37.5</v>
      </c>
      <c r="O34" s="324">
        <v>1</v>
      </c>
      <c r="P34" s="327">
        <f t="shared" si="0"/>
        <v>37.5</v>
      </c>
    </row>
    <row r="35" spans="10:16" ht="41.25" customHeight="1">
      <c r="J35" s="324">
        <f t="shared" si="1"/>
        <v>27</v>
      </c>
      <c r="K35" s="325" t="s">
        <v>392</v>
      </c>
      <c r="L35" s="326" t="s">
        <v>176</v>
      </c>
      <c r="M35" s="314">
        <v>1</v>
      </c>
      <c r="N35" s="311">
        <v>37.5</v>
      </c>
      <c r="O35" s="324">
        <v>1</v>
      </c>
      <c r="P35" s="327">
        <f t="shared" si="0"/>
        <v>37.5</v>
      </c>
    </row>
    <row r="36" spans="10:16" ht="41.25" customHeight="1">
      <c r="J36" s="324">
        <f t="shared" si="1"/>
        <v>28</v>
      </c>
      <c r="K36" s="325" t="s">
        <v>393</v>
      </c>
      <c r="L36" s="326" t="s">
        <v>176</v>
      </c>
      <c r="M36" s="314">
        <v>1</v>
      </c>
      <c r="N36" s="311">
        <v>37.5</v>
      </c>
      <c r="O36" s="324">
        <v>1</v>
      </c>
      <c r="P36" s="327">
        <f t="shared" si="0"/>
        <v>37.5</v>
      </c>
    </row>
    <row r="37" spans="10:16" ht="41.25" customHeight="1">
      <c r="J37" s="324">
        <f t="shared" si="1"/>
        <v>29</v>
      </c>
      <c r="K37" s="325" t="s">
        <v>394</v>
      </c>
      <c r="L37" s="326" t="s">
        <v>176</v>
      </c>
      <c r="M37" s="314">
        <v>1</v>
      </c>
      <c r="N37" s="311">
        <v>37.5</v>
      </c>
      <c r="O37" s="324">
        <v>1</v>
      </c>
      <c r="P37" s="327">
        <f t="shared" si="0"/>
        <v>37.5</v>
      </c>
    </row>
    <row r="38" spans="10:16" ht="41.25" customHeight="1">
      <c r="J38" s="324">
        <f t="shared" si="1"/>
        <v>30</v>
      </c>
      <c r="K38" s="329" t="s">
        <v>395</v>
      </c>
      <c r="L38" s="326" t="s">
        <v>176</v>
      </c>
      <c r="M38" s="314">
        <v>1</v>
      </c>
      <c r="N38" s="311">
        <v>169</v>
      </c>
      <c r="O38" s="324">
        <v>1</v>
      </c>
      <c r="P38" s="327">
        <f t="shared" si="0"/>
        <v>169</v>
      </c>
    </row>
    <row r="39" spans="10:16" ht="41.25" customHeight="1">
      <c r="J39" s="324">
        <f t="shared" si="1"/>
        <v>31</v>
      </c>
      <c r="K39" s="329" t="s">
        <v>396</v>
      </c>
      <c r="L39" s="326" t="s">
        <v>176</v>
      </c>
      <c r="M39" s="314">
        <v>1</v>
      </c>
      <c r="N39" s="311">
        <v>69.9</v>
      </c>
      <c r="O39" s="324">
        <v>1</v>
      </c>
      <c r="P39" s="327">
        <f t="shared" si="0"/>
        <v>69.9</v>
      </c>
    </row>
    <row r="40" spans="10:16" ht="41.25" customHeight="1">
      <c r="J40" s="324">
        <f t="shared" si="1"/>
        <v>32</v>
      </c>
      <c r="K40" s="325" t="s">
        <v>397</v>
      </c>
      <c r="L40" s="326" t="s">
        <v>176</v>
      </c>
      <c r="M40" s="314">
        <v>1</v>
      </c>
      <c r="N40" s="311">
        <v>29</v>
      </c>
      <c r="O40" s="324">
        <v>1</v>
      </c>
      <c r="P40" s="327">
        <f t="shared" si="0"/>
        <v>29</v>
      </c>
    </row>
    <row r="41" spans="10:16" ht="41.25" customHeight="1">
      <c r="J41" s="324">
        <f t="shared" si="1"/>
        <v>33</v>
      </c>
      <c r="K41" s="325" t="s">
        <v>398</v>
      </c>
      <c r="L41" s="326" t="s">
        <v>176</v>
      </c>
      <c r="M41" s="314">
        <v>1</v>
      </c>
      <c r="N41" s="311">
        <v>25</v>
      </c>
      <c r="O41" s="324">
        <v>1</v>
      </c>
      <c r="P41" s="327">
        <f t="shared" si="0"/>
        <v>25</v>
      </c>
    </row>
    <row r="42" spans="10:16" ht="41.25" customHeight="1">
      <c r="J42" s="324">
        <f t="shared" si="1"/>
        <v>34</v>
      </c>
      <c r="K42" s="329" t="s">
        <v>399</v>
      </c>
      <c r="L42" s="326" t="s">
        <v>176</v>
      </c>
      <c r="M42" s="314">
        <v>1</v>
      </c>
      <c r="N42" s="311">
        <v>11.9</v>
      </c>
      <c r="O42" s="324">
        <v>1</v>
      </c>
      <c r="P42" s="327">
        <f t="shared" si="0"/>
        <v>11.9</v>
      </c>
    </row>
    <row r="43" spans="10:16" ht="41.25" customHeight="1">
      <c r="J43" s="324">
        <f t="shared" si="1"/>
        <v>35</v>
      </c>
      <c r="K43" s="325" t="s">
        <v>167</v>
      </c>
      <c r="L43" s="326" t="s">
        <v>176</v>
      </c>
      <c r="M43" s="314">
        <v>2</v>
      </c>
      <c r="N43" s="311">
        <v>52.9</v>
      </c>
      <c r="O43" s="324">
        <v>1</v>
      </c>
      <c r="P43" s="327">
        <f t="shared" si="0"/>
        <v>52.9</v>
      </c>
    </row>
    <row r="44" spans="10:16" ht="41.25" customHeight="1">
      <c r="J44" s="324">
        <f t="shared" si="1"/>
        <v>36</v>
      </c>
      <c r="K44" s="325" t="s">
        <v>400</v>
      </c>
      <c r="L44" s="326" t="s">
        <v>176</v>
      </c>
      <c r="M44" s="314">
        <v>2</v>
      </c>
      <c r="N44" s="311">
        <v>3.99</v>
      </c>
      <c r="O44" s="324">
        <v>1</v>
      </c>
      <c r="P44" s="327">
        <f t="shared" si="0"/>
        <v>3.99</v>
      </c>
    </row>
    <row r="45" spans="10:16" ht="41.25" customHeight="1">
      <c r="J45" s="324">
        <f t="shared" si="1"/>
        <v>37</v>
      </c>
      <c r="K45" s="325" t="s">
        <v>409</v>
      </c>
      <c r="L45" s="326" t="s">
        <v>176</v>
      </c>
      <c r="M45" s="314">
        <v>1</v>
      </c>
      <c r="N45" s="311">
        <v>4.9</v>
      </c>
      <c r="O45" s="324">
        <v>1</v>
      </c>
      <c r="P45" s="327">
        <f t="shared" si="0"/>
        <v>4.9</v>
      </c>
    </row>
    <row r="46" spans="10:16" ht="41.25" customHeight="1">
      <c r="J46" s="324">
        <f t="shared" si="1"/>
        <v>38</v>
      </c>
      <c r="K46" s="325" t="s">
        <v>410</v>
      </c>
      <c r="L46" s="326" t="s">
        <v>176</v>
      </c>
      <c r="M46" s="314">
        <v>2</v>
      </c>
      <c r="N46" s="311">
        <v>49</v>
      </c>
      <c r="O46" s="324">
        <v>1</v>
      </c>
      <c r="P46" s="327">
        <f t="shared" si="0"/>
        <v>49</v>
      </c>
    </row>
    <row r="47" spans="10:16" ht="41.25" customHeight="1">
      <c r="J47" s="324">
        <f t="shared" si="1"/>
        <v>39</v>
      </c>
      <c r="K47" s="325" t="s">
        <v>401</v>
      </c>
      <c r="L47" s="326" t="s">
        <v>176</v>
      </c>
      <c r="M47" s="314">
        <v>4</v>
      </c>
      <c r="N47" s="311">
        <v>2.6</v>
      </c>
      <c r="O47" s="324">
        <v>1</v>
      </c>
      <c r="P47" s="327">
        <f t="shared" si="0"/>
        <v>2.6</v>
      </c>
    </row>
    <row r="48" spans="10:16" ht="41.25" customHeight="1">
      <c r="J48" s="324">
        <f t="shared" si="1"/>
        <v>40</v>
      </c>
      <c r="K48" s="330" t="s">
        <v>411</v>
      </c>
      <c r="L48" s="326" t="s">
        <v>176</v>
      </c>
      <c r="M48" s="314">
        <v>2</v>
      </c>
      <c r="N48" s="311">
        <v>50.71</v>
      </c>
      <c r="O48" s="324">
        <v>1</v>
      </c>
      <c r="P48" s="327">
        <f t="shared" si="0"/>
        <v>50.71</v>
      </c>
    </row>
    <row r="49" spans="10:16" ht="41.25" customHeight="1">
      <c r="J49" s="324">
        <f t="shared" si="1"/>
        <v>41</v>
      </c>
      <c r="K49" s="331" t="s">
        <v>412</v>
      </c>
      <c r="L49" s="326" t="s">
        <v>176</v>
      </c>
      <c r="M49" s="314">
        <v>2</v>
      </c>
      <c r="N49" s="311">
        <v>50</v>
      </c>
      <c r="O49" s="324">
        <v>1</v>
      </c>
      <c r="P49" s="327">
        <f t="shared" si="0"/>
        <v>50</v>
      </c>
    </row>
    <row r="50" spans="10:16" ht="41.25" customHeight="1">
      <c r="J50" s="332">
        <f t="shared" si="1"/>
        <v>42</v>
      </c>
      <c r="K50" s="333" t="s">
        <v>413</v>
      </c>
      <c r="L50" s="334" t="s">
        <v>176</v>
      </c>
      <c r="M50" s="315">
        <v>1</v>
      </c>
      <c r="N50" s="312">
        <v>10</v>
      </c>
      <c r="O50" s="332">
        <v>1</v>
      </c>
      <c r="P50" s="335">
        <f t="shared" si="0"/>
        <v>10</v>
      </c>
    </row>
    <row r="51" spans="10:17" ht="31.5" customHeight="1">
      <c r="J51" s="622" t="s">
        <v>313</v>
      </c>
      <c r="K51" s="622"/>
      <c r="L51" s="622"/>
      <c r="M51" s="622"/>
      <c r="N51" s="622"/>
      <c r="O51" s="622"/>
      <c r="P51" s="336">
        <f>SUM(P9:P50)</f>
        <v>3960.59</v>
      </c>
      <c r="Q51" s="337">
        <f>P51/'[1]Custo da Mão de Obra 2'!E6</f>
        <v>1.895019138755981</v>
      </c>
    </row>
    <row r="52" spans="11:16" ht="27.75" customHeight="1">
      <c r="K52" s="621" t="s">
        <v>500</v>
      </c>
      <c r="L52" s="621"/>
      <c r="M52" s="621"/>
      <c r="N52" s="621"/>
      <c r="O52" s="621"/>
      <c r="P52" s="621"/>
    </row>
    <row r="53" spans="10:16" ht="37.5" customHeight="1">
      <c r="J53" s="319" t="s">
        <v>154</v>
      </c>
      <c r="K53" s="320" t="s">
        <v>364</v>
      </c>
      <c r="L53" s="321" t="s">
        <v>176</v>
      </c>
      <c r="M53" s="321" t="s">
        <v>405</v>
      </c>
      <c r="N53" s="321" t="s">
        <v>406</v>
      </c>
      <c r="O53" s="322" t="s">
        <v>407</v>
      </c>
      <c r="P53" s="323" t="s">
        <v>408</v>
      </c>
    </row>
    <row r="54" spans="10:16" ht="38.25" customHeight="1">
      <c r="J54" s="324">
        <v>1</v>
      </c>
      <c r="K54" s="325" t="s">
        <v>365</v>
      </c>
      <c r="L54" s="326" t="s">
        <v>176</v>
      </c>
      <c r="M54" s="313">
        <v>1</v>
      </c>
      <c r="N54" s="311">
        <v>52.51</v>
      </c>
      <c r="O54" s="338">
        <v>1</v>
      </c>
      <c r="P54" s="327">
        <f aca="true" t="shared" si="2" ref="P54:P96">N54/O54</f>
        <v>52.51</v>
      </c>
    </row>
    <row r="55" spans="10:16" ht="39.75" customHeight="1">
      <c r="J55" s="324">
        <f>J54+1</f>
        <v>2</v>
      </c>
      <c r="K55" s="325" t="s">
        <v>366</v>
      </c>
      <c r="L55" s="326" t="s">
        <v>176</v>
      </c>
      <c r="M55" s="314">
        <v>1</v>
      </c>
      <c r="N55" s="311">
        <v>325</v>
      </c>
      <c r="O55" s="338">
        <v>1</v>
      </c>
      <c r="P55" s="327">
        <f t="shared" si="2"/>
        <v>325</v>
      </c>
    </row>
    <row r="56" spans="10:16" ht="30" customHeight="1">
      <c r="J56" s="324">
        <f aca="true" t="shared" si="3" ref="J56:J96">J55+1</f>
        <v>3</v>
      </c>
      <c r="K56" s="325" t="s">
        <v>367</v>
      </c>
      <c r="L56" s="326" t="s">
        <v>176</v>
      </c>
      <c r="M56" s="314">
        <v>1</v>
      </c>
      <c r="N56" s="311">
        <v>155.8</v>
      </c>
      <c r="O56" s="338">
        <v>1</v>
      </c>
      <c r="P56" s="327">
        <f t="shared" si="2"/>
        <v>155.8</v>
      </c>
    </row>
    <row r="57" spans="10:16" ht="30" customHeight="1">
      <c r="J57" s="324">
        <f t="shared" si="3"/>
        <v>4</v>
      </c>
      <c r="K57" s="325" t="s">
        <v>368</v>
      </c>
      <c r="L57" s="326" t="s">
        <v>176</v>
      </c>
      <c r="M57" s="314">
        <v>1</v>
      </c>
      <c r="N57" s="311">
        <v>232</v>
      </c>
      <c r="O57" s="338">
        <v>1</v>
      </c>
      <c r="P57" s="327">
        <f t="shared" si="2"/>
        <v>232</v>
      </c>
    </row>
    <row r="58" spans="10:16" ht="30" customHeight="1">
      <c r="J58" s="324">
        <f t="shared" si="3"/>
        <v>5</v>
      </c>
      <c r="K58" s="325" t="s">
        <v>369</v>
      </c>
      <c r="L58" s="326" t="s">
        <v>176</v>
      </c>
      <c r="M58" s="314">
        <v>1</v>
      </c>
      <c r="N58" s="311">
        <v>155.8</v>
      </c>
      <c r="O58" s="338">
        <v>1</v>
      </c>
      <c r="P58" s="327">
        <f t="shared" si="2"/>
        <v>155.8</v>
      </c>
    </row>
    <row r="59" spans="10:16" ht="30" customHeight="1">
      <c r="J59" s="324">
        <f t="shared" si="3"/>
        <v>6</v>
      </c>
      <c r="K59" s="325" t="s">
        <v>370</v>
      </c>
      <c r="L59" s="326" t="s">
        <v>176</v>
      </c>
      <c r="M59" s="314">
        <v>1</v>
      </c>
      <c r="N59" s="311">
        <v>360.7</v>
      </c>
      <c r="O59" s="338">
        <v>1</v>
      </c>
      <c r="P59" s="327">
        <f t="shared" si="2"/>
        <v>360.7</v>
      </c>
    </row>
    <row r="60" spans="10:16" ht="38.25">
      <c r="J60" s="324">
        <f t="shared" si="3"/>
        <v>7</v>
      </c>
      <c r="K60" s="325" t="s">
        <v>371</v>
      </c>
      <c r="L60" s="326" t="s">
        <v>176</v>
      </c>
      <c r="M60" s="314">
        <v>1</v>
      </c>
      <c r="N60" s="311">
        <v>491.06</v>
      </c>
      <c r="O60" s="338">
        <v>1</v>
      </c>
      <c r="P60" s="327">
        <f t="shared" si="2"/>
        <v>491.06</v>
      </c>
    </row>
    <row r="61" spans="10:16" ht="30" customHeight="1">
      <c r="J61" s="324">
        <f t="shared" si="3"/>
        <v>8</v>
      </c>
      <c r="K61" s="325" t="s">
        <v>372</v>
      </c>
      <c r="L61" s="326" t="s">
        <v>176</v>
      </c>
      <c r="M61" s="314">
        <v>1</v>
      </c>
      <c r="N61" s="311">
        <v>154.5</v>
      </c>
      <c r="O61" s="338">
        <v>1</v>
      </c>
      <c r="P61" s="327">
        <f t="shared" si="2"/>
        <v>154.5</v>
      </c>
    </row>
    <row r="62" spans="10:16" ht="47.25" customHeight="1">
      <c r="J62" s="324">
        <f t="shared" si="3"/>
        <v>9</v>
      </c>
      <c r="K62" s="325" t="s">
        <v>373</v>
      </c>
      <c r="L62" s="326" t="s">
        <v>176</v>
      </c>
      <c r="M62" s="314">
        <v>1</v>
      </c>
      <c r="N62" s="311">
        <v>22</v>
      </c>
      <c r="O62" s="338">
        <v>1</v>
      </c>
      <c r="P62" s="327">
        <f t="shared" si="2"/>
        <v>22</v>
      </c>
    </row>
    <row r="63" spans="10:16" ht="40.5" customHeight="1">
      <c r="J63" s="324">
        <f t="shared" si="3"/>
        <v>10</v>
      </c>
      <c r="K63" s="328" t="s">
        <v>374</v>
      </c>
      <c r="L63" s="326" t="s">
        <v>176</v>
      </c>
      <c r="M63" s="314">
        <v>1</v>
      </c>
      <c r="N63" s="311">
        <v>350</v>
      </c>
      <c r="O63" s="338">
        <v>1</v>
      </c>
      <c r="P63" s="327">
        <f t="shared" si="2"/>
        <v>350</v>
      </c>
    </row>
    <row r="64" spans="10:16" ht="30" customHeight="1">
      <c r="J64" s="324">
        <f t="shared" si="3"/>
        <v>11</v>
      </c>
      <c r="K64" s="328" t="s">
        <v>375</v>
      </c>
      <c r="L64" s="326" t="s">
        <v>176</v>
      </c>
      <c r="M64" s="314">
        <v>1</v>
      </c>
      <c r="N64" s="311">
        <v>719.99</v>
      </c>
      <c r="O64" s="338">
        <v>1</v>
      </c>
      <c r="P64" s="327">
        <f t="shared" si="2"/>
        <v>719.99</v>
      </c>
    </row>
    <row r="65" spans="10:16" ht="30" customHeight="1">
      <c r="J65" s="324">
        <f t="shared" si="3"/>
        <v>12</v>
      </c>
      <c r="K65" s="328" t="s">
        <v>376</v>
      </c>
      <c r="L65" s="326" t="s">
        <v>176</v>
      </c>
      <c r="M65" s="314">
        <v>1</v>
      </c>
      <c r="N65" s="311">
        <v>259</v>
      </c>
      <c r="O65" s="338">
        <v>1</v>
      </c>
      <c r="P65" s="327">
        <f t="shared" si="2"/>
        <v>259</v>
      </c>
    </row>
    <row r="66" spans="10:16" ht="30" customHeight="1">
      <c r="J66" s="324">
        <f t="shared" si="3"/>
        <v>13</v>
      </c>
      <c r="K66" s="325" t="s">
        <v>377</v>
      </c>
      <c r="L66" s="326" t="s">
        <v>176</v>
      </c>
      <c r="M66" s="314">
        <v>1</v>
      </c>
      <c r="N66" s="311">
        <v>205</v>
      </c>
      <c r="O66" s="338">
        <v>1</v>
      </c>
      <c r="P66" s="327">
        <f t="shared" si="2"/>
        <v>205</v>
      </c>
    </row>
    <row r="67" spans="10:16" ht="30" customHeight="1">
      <c r="J67" s="324">
        <f t="shared" si="3"/>
        <v>14</v>
      </c>
      <c r="K67" s="325" t="s">
        <v>378</v>
      </c>
      <c r="L67" s="326" t="s">
        <v>176</v>
      </c>
      <c r="M67" s="314">
        <v>1</v>
      </c>
      <c r="N67" s="311">
        <v>49</v>
      </c>
      <c r="O67" s="338">
        <v>1</v>
      </c>
      <c r="P67" s="327">
        <f t="shared" si="2"/>
        <v>49</v>
      </c>
    </row>
    <row r="68" spans="10:16" ht="30" customHeight="1">
      <c r="J68" s="324">
        <f t="shared" si="3"/>
        <v>15</v>
      </c>
      <c r="K68" s="325" t="s">
        <v>379</v>
      </c>
      <c r="L68" s="326" t="s">
        <v>176</v>
      </c>
      <c r="M68" s="314">
        <v>1</v>
      </c>
      <c r="N68" s="311">
        <v>33.17</v>
      </c>
      <c r="O68" s="338">
        <v>1</v>
      </c>
      <c r="P68" s="327">
        <f t="shared" si="2"/>
        <v>33.17</v>
      </c>
    </row>
    <row r="69" spans="10:16" ht="30" customHeight="1">
      <c r="J69" s="324">
        <f t="shared" si="3"/>
        <v>16</v>
      </c>
      <c r="K69" s="325" t="s">
        <v>380</v>
      </c>
      <c r="L69" s="326" t="s">
        <v>176</v>
      </c>
      <c r="M69" s="314">
        <v>1</v>
      </c>
      <c r="N69" s="311">
        <v>28.41</v>
      </c>
      <c r="O69" s="338">
        <v>1</v>
      </c>
      <c r="P69" s="327">
        <f t="shared" si="2"/>
        <v>28.41</v>
      </c>
    </row>
    <row r="70" spans="10:16" ht="30" customHeight="1">
      <c r="J70" s="324">
        <f t="shared" si="3"/>
        <v>17</v>
      </c>
      <c r="K70" s="325" t="s">
        <v>381</v>
      </c>
      <c r="L70" s="326" t="s">
        <v>176</v>
      </c>
      <c r="M70" s="314">
        <v>1</v>
      </c>
      <c r="N70" s="311">
        <v>25</v>
      </c>
      <c r="O70" s="338">
        <v>1</v>
      </c>
      <c r="P70" s="327">
        <f t="shared" si="2"/>
        <v>25</v>
      </c>
    </row>
    <row r="71" spans="10:16" ht="30" customHeight="1">
      <c r="J71" s="324">
        <f t="shared" si="3"/>
        <v>18</v>
      </c>
      <c r="K71" s="325" t="s">
        <v>382</v>
      </c>
      <c r="L71" s="326" t="s">
        <v>176</v>
      </c>
      <c r="M71" s="314">
        <v>1</v>
      </c>
      <c r="N71" s="311">
        <v>25.21</v>
      </c>
      <c r="O71" s="338">
        <v>1</v>
      </c>
      <c r="P71" s="327">
        <f t="shared" si="2"/>
        <v>25.21</v>
      </c>
    </row>
    <row r="72" spans="10:16" ht="30" customHeight="1">
      <c r="J72" s="324">
        <f t="shared" si="3"/>
        <v>19</v>
      </c>
      <c r="K72" s="325" t="s">
        <v>383</v>
      </c>
      <c r="L72" s="326" t="s">
        <v>176</v>
      </c>
      <c r="M72" s="314">
        <v>1</v>
      </c>
      <c r="N72" s="311">
        <v>18.53</v>
      </c>
      <c r="O72" s="338">
        <v>1</v>
      </c>
      <c r="P72" s="327">
        <f t="shared" si="2"/>
        <v>18.53</v>
      </c>
    </row>
    <row r="73" spans="10:16" ht="30" customHeight="1">
      <c r="J73" s="324">
        <f t="shared" si="3"/>
        <v>20</v>
      </c>
      <c r="K73" s="325" t="s">
        <v>384</v>
      </c>
      <c r="L73" s="326" t="s">
        <v>176</v>
      </c>
      <c r="M73" s="314">
        <v>1</v>
      </c>
      <c r="N73" s="311">
        <v>50.25</v>
      </c>
      <c r="O73" s="338">
        <v>1</v>
      </c>
      <c r="P73" s="327">
        <f t="shared" si="2"/>
        <v>50.25</v>
      </c>
    </row>
    <row r="74" spans="10:16" ht="30" customHeight="1">
      <c r="J74" s="324">
        <f t="shared" si="3"/>
        <v>21</v>
      </c>
      <c r="K74" s="325" t="s">
        <v>385</v>
      </c>
      <c r="L74" s="326" t="s">
        <v>176</v>
      </c>
      <c r="M74" s="314">
        <v>1</v>
      </c>
      <c r="N74" s="311">
        <v>50.25</v>
      </c>
      <c r="O74" s="338">
        <v>1</v>
      </c>
      <c r="P74" s="327">
        <f t="shared" si="2"/>
        <v>50.25</v>
      </c>
    </row>
    <row r="75" spans="10:16" ht="30" customHeight="1">
      <c r="J75" s="324">
        <f t="shared" si="3"/>
        <v>22</v>
      </c>
      <c r="K75" s="325" t="s">
        <v>386</v>
      </c>
      <c r="L75" s="326" t="s">
        <v>176</v>
      </c>
      <c r="M75" s="314">
        <v>1</v>
      </c>
      <c r="N75" s="311">
        <v>50.25</v>
      </c>
      <c r="O75" s="338">
        <v>1</v>
      </c>
      <c r="P75" s="327">
        <f t="shared" si="2"/>
        <v>50.25</v>
      </c>
    </row>
    <row r="76" spans="10:16" ht="30" customHeight="1">
      <c r="J76" s="324">
        <f t="shared" si="3"/>
        <v>23</v>
      </c>
      <c r="K76" s="325" t="s">
        <v>387</v>
      </c>
      <c r="L76" s="326" t="s">
        <v>176</v>
      </c>
      <c r="M76" s="314">
        <v>1</v>
      </c>
      <c r="N76" s="311">
        <v>50.25</v>
      </c>
      <c r="O76" s="338">
        <v>1</v>
      </c>
      <c r="P76" s="327">
        <f t="shared" si="2"/>
        <v>50.25</v>
      </c>
    </row>
    <row r="77" spans="10:16" ht="17.25" customHeight="1">
      <c r="J77" s="324">
        <f t="shared" si="3"/>
        <v>24</v>
      </c>
      <c r="K77" s="325" t="s">
        <v>388</v>
      </c>
      <c r="L77" s="326" t="s">
        <v>176</v>
      </c>
      <c r="M77" s="314">
        <v>1</v>
      </c>
      <c r="N77" s="311">
        <v>50.25</v>
      </c>
      <c r="O77" s="338">
        <v>1</v>
      </c>
      <c r="P77" s="327">
        <f t="shared" si="2"/>
        <v>50.25</v>
      </c>
    </row>
    <row r="78" spans="10:16" ht="17.25" customHeight="1">
      <c r="J78" s="324">
        <f t="shared" si="3"/>
        <v>25</v>
      </c>
      <c r="K78" s="325" t="s">
        <v>389</v>
      </c>
      <c r="L78" s="326" t="s">
        <v>176</v>
      </c>
      <c r="M78" s="314">
        <v>1</v>
      </c>
      <c r="N78" s="311">
        <v>50.25</v>
      </c>
      <c r="O78" s="338">
        <v>1</v>
      </c>
      <c r="P78" s="327">
        <f t="shared" si="2"/>
        <v>50.25</v>
      </c>
    </row>
    <row r="79" spans="10:16" ht="17.25" customHeight="1">
      <c r="J79" s="324">
        <f t="shared" si="3"/>
        <v>26</v>
      </c>
      <c r="K79" s="325" t="s">
        <v>390</v>
      </c>
      <c r="L79" s="326" t="s">
        <v>176</v>
      </c>
      <c r="M79" s="314">
        <v>1</v>
      </c>
      <c r="N79" s="311">
        <v>37.5</v>
      </c>
      <c r="O79" s="338">
        <v>1</v>
      </c>
      <c r="P79" s="327">
        <f t="shared" si="2"/>
        <v>37.5</v>
      </c>
    </row>
    <row r="80" spans="10:16" ht="17.25" customHeight="1">
      <c r="J80" s="324">
        <f t="shared" si="3"/>
        <v>27</v>
      </c>
      <c r="K80" s="325" t="s">
        <v>391</v>
      </c>
      <c r="L80" s="326" t="s">
        <v>176</v>
      </c>
      <c r="M80" s="314">
        <v>1</v>
      </c>
      <c r="N80" s="311">
        <v>37.5</v>
      </c>
      <c r="O80" s="338">
        <v>1</v>
      </c>
      <c r="P80" s="327">
        <f t="shared" si="2"/>
        <v>37.5</v>
      </c>
    </row>
    <row r="81" spans="10:16" ht="12.75">
      <c r="J81" s="324">
        <f t="shared" si="3"/>
        <v>28</v>
      </c>
      <c r="K81" s="325" t="s">
        <v>392</v>
      </c>
      <c r="L81" s="326" t="s">
        <v>176</v>
      </c>
      <c r="M81" s="314">
        <v>1</v>
      </c>
      <c r="N81" s="311">
        <v>37.5</v>
      </c>
      <c r="O81" s="338">
        <v>1</v>
      </c>
      <c r="P81" s="327">
        <f t="shared" si="2"/>
        <v>37.5</v>
      </c>
    </row>
    <row r="82" spans="10:16" ht="12.75">
      <c r="J82" s="324">
        <f t="shared" si="3"/>
        <v>29</v>
      </c>
      <c r="K82" s="325" t="s">
        <v>393</v>
      </c>
      <c r="L82" s="326" t="s">
        <v>176</v>
      </c>
      <c r="M82" s="314">
        <v>1</v>
      </c>
      <c r="N82" s="311">
        <v>37.5</v>
      </c>
      <c r="O82" s="338">
        <v>1</v>
      </c>
      <c r="P82" s="327">
        <f t="shared" si="2"/>
        <v>37.5</v>
      </c>
    </row>
    <row r="83" spans="10:16" ht="12.75">
      <c r="J83" s="324">
        <f t="shared" si="3"/>
        <v>30</v>
      </c>
      <c r="K83" s="325" t="s">
        <v>394</v>
      </c>
      <c r="L83" s="326" t="s">
        <v>176</v>
      </c>
      <c r="M83" s="314">
        <v>1</v>
      </c>
      <c r="N83" s="311">
        <v>37.5</v>
      </c>
      <c r="O83" s="338">
        <v>1</v>
      </c>
      <c r="P83" s="327">
        <f t="shared" si="2"/>
        <v>37.5</v>
      </c>
    </row>
    <row r="84" spans="10:16" ht="12.75">
      <c r="J84" s="324">
        <f t="shared" si="3"/>
        <v>31</v>
      </c>
      <c r="K84" s="325" t="s">
        <v>395</v>
      </c>
      <c r="L84" s="326" t="s">
        <v>176</v>
      </c>
      <c r="M84" s="314">
        <v>1</v>
      </c>
      <c r="N84" s="311">
        <v>169</v>
      </c>
      <c r="O84" s="338">
        <v>1</v>
      </c>
      <c r="P84" s="327">
        <f t="shared" si="2"/>
        <v>169</v>
      </c>
    </row>
    <row r="85" spans="10:16" ht="12.75">
      <c r="J85" s="324">
        <f t="shared" si="3"/>
        <v>32</v>
      </c>
      <c r="K85" s="325" t="s">
        <v>396</v>
      </c>
      <c r="L85" s="326" t="s">
        <v>176</v>
      </c>
      <c r="M85" s="314">
        <v>1</v>
      </c>
      <c r="N85" s="311">
        <v>69.9</v>
      </c>
      <c r="O85" s="338">
        <v>1</v>
      </c>
      <c r="P85" s="327">
        <f t="shared" si="2"/>
        <v>69.9</v>
      </c>
    </row>
    <row r="86" spans="10:16" ht="12.75">
      <c r="J86" s="324">
        <f t="shared" si="3"/>
        <v>33</v>
      </c>
      <c r="K86" s="325" t="s">
        <v>397</v>
      </c>
      <c r="L86" s="326" t="s">
        <v>176</v>
      </c>
      <c r="M86" s="314">
        <v>1</v>
      </c>
      <c r="N86" s="311">
        <v>29</v>
      </c>
      <c r="O86" s="338">
        <v>1</v>
      </c>
      <c r="P86" s="327">
        <f t="shared" si="2"/>
        <v>29</v>
      </c>
    </row>
    <row r="87" spans="10:16" ht="12.75">
      <c r="J87" s="324">
        <f t="shared" si="3"/>
        <v>34</v>
      </c>
      <c r="K87" s="325" t="s">
        <v>398</v>
      </c>
      <c r="L87" s="326" t="s">
        <v>176</v>
      </c>
      <c r="M87" s="314">
        <v>1</v>
      </c>
      <c r="N87" s="311">
        <v>25</v>
      </c>
      <c r="O87" s="338">
        <v>1</v>
      </c>
      <c r="P87" s="327">
        <f t="shared" si="2"/>
        <v>25</v>
      </c>
    </row>
    <row r="88" spans="10:16" ht="12.75">
      <c r="J88" s="324">
        <f t="shared" si="3"/>
        <v>35</v>
      </c>
      <c r="K88" s="325" t="s">
        <v>399</v>
      </c>
      <c r="L88" s="326" t="s">
        <v>176</v>
      </c>
      <c r="M88" s="314">
        <v>1</v>
      </c>
      <c r="N88" s="311">
        <v>11.9</v>
      </c>
      <c r="O88" s="338">
        <v>1</v>
      </c>
      <c r="P88" s="327">
        <f t="shared" si="2"/>
        <v>11.9</v>
      </c>
    </row>
    <row r="89" spans="10:16" ht="12.75">
      <c r="J89" s="324">
        <f t="shared" si="3"/>
        <v>36</v>
      </c>
      <c r="K89" s="325" t="s">
        <v>167</v>
      </c>
      <c r="L89" s="326" t="s">
        <v>176</v>
      </c>
      <c r="M89" s="314">
        <v>2</v>
      </c>
      <c r="N89" s="311">
        <v>52.9</v>
      </c>
      <c r="O89" s="338">
        <v>1</v>
      </c>
      <c r="P89" s="327">
        <f t="shared" si="2"/>
        <v>52.9</v>
      </c>
    </row>
    <row r="90" spans="10:16" ht="12.75">
      <c r="J90" s="324">
        <f t="shared" si="3"/>
        <v>37</v>
      </c>
      <c r="K90" s="325" t="s">
        <v>400</v>
      </c>
      <c r="L90" s="326" t="s">
        <v>176</v>
      </c>
      <c r="M90" s="314">
        <v>2</v>
      </c>
      <c r="N90" s="311">
        <v>3.99</v>
      </c>
      <c r="O90" s="338">
        <v>1</v>
      </c>
      <c r="P90" s="327">
        <f t="shared" si="2"/>
        <v>3.99</v>
      </c>
    </row>
    <row r="91" spans="10:16" ht="12.75">
      <c r="J91" s="324">
        <f t="shared" si="3"/>
        <v>38</v>
      </c>
      <c r="K91" s="325" t="s">
        <v>409</v>
      </c>
      <c r="L91" s="326" t="s">
        <v>176</v>
      </c>
      <c r="M91" s="314">
        <v>1</v>
      </c>
      <c r="N91" s="311">
        <v>4.9</v>
      </c>
      <c r="O91" s="338">
        <v>1</v>
      </c>
      <c r="P91" s="327">
        <f t="shared" si="2"/>
        <v>4.9</v>
      </c>
    </row>
    <row r="92" spans="10:16" ht="25.5">
      <c r="J92" s="324">
        <f t="shared" si="3"/>
        <v>39</v>
      </c>
      <c r="K92" s="325" t="s">
        <v>410</v>
      </c>
      <c r="L92" s="326" t="s">
        <v>176</v>
      </c>
      <c r="M92" s="314">
        <v>2</v>
      </c>
      <c r="N92" s="311">
        <v>49</v>
      </c>
      <c r="O92" s="338">
        <v>1</v>
      </c>
      <c r="P92" s="327">
        <f t="shared" si="2"/>
        <v>49</v>
      </c>
    </row>
    <row r="93" spans="10:16" ht="12.75">
      <c r="J93" s="324">
        <f t="shared" si="3"/>
        <v>40</v>
      </c>
      <c r="K93" s="325" t="s">
        <v>401</v>
      </c>
      <c r="L93" s="326" t="s">
        <v>176</v>
      </c>
      <c r="M93" s="314">
        <v>4</v>
      </c>
      <c r="N93" s="311">
        <v>2.6</v>
      </c>
      <c r="O93" s="338">
        <v>1</v>
      </c>
      <c r="P93" s="327">
        <f t="shared" si="2"/>
        <v>2.6</v>
      </c>
    </row>
    <row r="94" spans="10:16" ht="12.75">
      <c r="J94" s="324">
        <f t="shared" si="3"/>
        <v>41</v>
      </c>
      <c r="K94" s="330" t="s">
        <v>411</v>
      </c>
      <c r="L94" s="326" t="s">
        <v>176</v>
      </c>
      <c r="M94" s="314">
        <v>2</v>
      </c>
      <c r="N94" s="311">
        <v>50.71</v>
      </c>
      <c r="O94" s="338">
        <v>1</v>
      </c>
      <c r="P94" s="327">
        <f t="shared" si="2"/>
        <v>50.71</v>
      </c>
    </row>
    <row r="95" spans="10:16" ht="12.75">
      <c r="J95" s="324">
        <f t="shared" si="3"/>
        <v>42</v>
      </c>
      <c r="K95" s="331" t="s">
        <v>412</v>
      </c>
      <c r="L95" s="326" t="s">
        <v>176</v>
      </c>
      <c r="M95" s="314">
        <v>2</v>
      </c>
      <c r="N95" s="311">
        <v>50</v>
      </c>
      <c r="O95" s="338">
        <v>1</v>
      </c>
      <c r="P95" s="327">
        <f t="shared" si="2"/>
        <v>50</v>
      </c>
    </row>
    <row r="96" spans="10:16" ht="12.75">
      <c r="J96" s="332">
        <f t="shared" si="3"/>
        <v>43</v>
      </c>
      <c r="K96" s="333" t="s">
        <v>413</v>
      </c>
      <c r="L96" s="334" t="s">
        <v>176</v>
      </c>
      <c r="M96" s="315">
        <v>1</v>
      </c>
      <c r="N96" s="312">
        <v>10</v>
      </c>
      <c r="O96" s="339">
        <v>1</v>
      </c>
      <c r="P96" s="335">
        <f t="shared" si="2"/>
        <v>10</v>
      </c>
    </row>
    <row r="97" spans="10:17" ht="15.75">
      <c r="J97" s="620" t="s">
        <v>313</v>
      </c>
      <c r="K97" s="620"/>
      <c r="L97" s="620"/>
      <c r="M97" s="620"/>
      <c r="N97" s="620"/>
      <c r="O97" s="620"/>
      <c r="P97" s="340">
        <f>SUM(P54:P96)</f>
        <v>4680.579999999999</v>
      </c>
      <c r="Q97" s="341">
        <f>P97/'[1]Custo da Mão de Obra 2'!E5</f>
        <v>1.79160956937799</v>
      </c>
    </row>
    <row r="98" ht="12.75"/>
    <row r="99" ht="12.75"/>
    <row r="100" spans="11:16" ht="21.75" customHeight="1">
      <c r="K100" s="621" t="s">
        <v>414</v>
      </c>
      <c r="L100" s="621"/>
      <c r="M100" s="621"/>
      <c r="N100" s="621"/>
      <c r="O100" s="621"/>
      <c r="P100" s="621"/>
    </row>
    <row r="101" spans="10:16" ht="36">
      <c r="J101" s="319" t="s">
        <v>154</v>
      </c>
      <c r="K101" s="320" t="s">
        <v>364</v>
      </c>
      <c r="L101" s="321" t="s">
        <v>176</v>
      </c>
      <c r="M101" s="321" t="s">
        <v>405</v>
      </c>
      <c r="N101" s="321" t="s">
        <v>406</v>
      </c>
      <c r="O101" s="322" t="s">
        <v>407</v>
      </c>
      <c r="P101" s="323" t="s">
        <v>408</v>
      </c>
    </row>
    <row r="102" spans="10:16" ht="12.75">
      <c r="J102" s="324">
        <v>1</v>
      </c>
      <c r="K102" s="325" t="s">
        <v>167</v>
      </c>
      <c r="L102" s="326" t="s">
        <v>176</v>
      </c>
      <c r="M102" s="314">
        <v>2</v>
      </c>
      <c r="N102" s="311">
        <v>52.9</v>
      </c>
      <c r="O102" s="324">
        <v>1</v>
      </c>
      <c r="P102" s="327">
        <f aca="true" t="shared" si="4" ref="P102:P109">N102/O102</f>
        <v>52.9</v>
      </c>
    </row>
    <row r="103" spans="10:16" ht="25.5">
      <c r="J103" s="324">
        <f>1+J102</f>
        <v>2</v>
      </c>
      <c r="K103" s="325" t="s">
        <v>366</v>
      </c>
      <c r="L103" s="326" t="s">
        <v>176</v>
      </c>
      <c r="M103" s="314">
        <v>1</v>
      </c>
      <c r="N103" s="311">
        <v>325</v>
      </c>
      <c r="O103" s="324">
        <v>1</v>
      </c>
      <c r="P103" s="327">
        <f t="shared" si="4"/>
        <v>325</v>
      </c>
    </row>
    <row r="104" spans="10:16" ht="25.5">
      <c r="J104" s="324">
        <f aca="true" t="shared" si="5" ref="J104:J113">1+J103</f>
        <v>3</v>
      </c>
      <c r="K104" s="325" t="s">
        <v>367</v>
      </c>
      <c r="L104" s="326" t="s">
        <v>176</v>
      </c>
      <c r="M104" s="314">
        <v>1</v>
      </c>
      <c r="N104" s="311">
        <v>155.8</v>
      </c>
      <c r="O104" s="324">
        <v>1</v>
      </c>
      <c r="P104" s="327">
        <f t="shared" si="4"/>
        <v>155.8</v>
      </c>
    </row>
    <row r="105" spans="10:16" ht="12.75">
      <c r="J105" s="324">
        <f t="shared" si="5"/>
        <v>4</v>
      </c>
      <c r="K105" s="325" t="s">
        <v>368</v>
      </c>
      <c r="L105" s="326" t="s">
        <v>176</v>
      </c>
      <c r="M105" s="314">
        <v>1</v>
      </c>
      <c r="N105" s="311">
        <v>232</v>
      </c>
      <c r="O105" s="324">
        <v>1</v>
      </c>
      <c r="P105" s="327">
        <f t="shared" si="4"/>
        <v>232</v>
      </c>
    </row>
    <row r="106" spans="10:16" ht="25.5">
      <c r="J106" s="324">
        <f t="shared" si="5"/>
        <v>5</v>
      </c>
      <c r="K106" s="325" t="s">
        <v>369</v>
      </c>
      <c r="L106" s="326" t="s">
        <v>176</v>
      </c>
      <c r="M106" s="314">
        <v>1</v>
      </c>
      <c r="N106" s="311">
        <v>155.8</v>
      </c>
      <c r="O106" s="324">
        <v>1</v>
      </c>
      <c r="P106" s="327">
        <f t="shared" si="4"/>
        <v>155.8</v>
      </c>
    </row>
    <row r="107" spans="10:16" ht="12.75">
      <c r="J107" s="324">
        <f t="shared" si="5"/>
        <v>6</v>
      </c>
      <c r="K107" s="325" t="s">
        <v>400</v>
      </c>
      <c r="L107" s="326" t="s">
        <v>176</v>
      </c>
      <c r="M107" s="314">
        <v>4</v>
      </c>
      <c r="N107" s="311">
        <v>3.99</v>
      </c>
      <c r="O107" s="324">
        <v>1</v>
      </c>
      <c r="P107" s="327">
        <f t="shared" si="4"/>
        <v>3.99</v>
      </c>
    </row>
    <row r="108" spans="10:16" ht="12.75">
      <c r="J108" s="324">
        <f t="shared" si="5"/>
        <v>7</v>
      </c>
      <c r="K108" s="325" t="s">
        <v>409</v>
      </c>
      <c r="L108" s="326" t="s">
        <v>176</v>
      </c>
      <c r="M108" s="314">
        <v>1</v>
      </c>
      <c r="N108" s="311">
        <v>4.9</v>
      </c>
      <c r="O108" s="324">
        <v>1</v>
      </c>
      <c r="P108" s="327">
        <f t="shared" si="4"/>
        <v>4.9</v>
      </c>
    </row>
    <row r="109" spans="10:16" ht="25.5">
      <c r="J109" s="324">
        <f t="shared" si="5"/>
        <v>8</v>
      </c>
      <c r="K109" s="325" t="s">
        <v>410</v>
      </c>
      <c r="L109" s="326" t="s">
        <v>176</v>
      </c>
      <c r="M109" s="314">
        <v>2</v>
      </c>
      <c r="N109" s="311">
        <v>49</v>
      </c>
      <c r="O109" s="324">
        <v>1</v>
      </c>
      <c r="P109" s="327">
        <f t="shared" si="4"/>
        <v>49</v>
      </c>
    </row>
    <row r="110" spans="10:16" ht="12.75">
      <c r="J110" s="324">
        <f t="shared" si="5"/>
        <v>9</v>
      </c>
      <c r="K110" s="325" t="s">
        <v>401</v>
      </c>
      <c r="L110" s="326" t="s">
        <v>176</v>
      </c>
      <c r="M110" s="314">
        <v>4</v>
      </c>
      <c r="N110" s="311">
        <v>2.6</v>
      </c>
      <c r="O110" s="324">
        <v>1</v>
      </c>
      <c r="P110" s="327">
        <f>N110/O110</f>
        <v>2.6</v>
      </c>
    </row>
    <row r="111" spans="10:16" ht="12.75">
      <c r="J111" s="324">
        <f t="shared" si="5"/>
        <v>10</v>
      </c>
      <c r="K111" s="330" t="s">
        <v>411</v>
      </c>
      <c r="L111" s="326" t="s">
        <v>176</v>
      </c>
      <c r="M111" s="314">
        <v>2</v>
      </c>
      <c r="N111" s="311">
        <v>50.71</v>
      </c>
      <c r="O111" s="324">
        <v>1</v>
      </c>
      <c r="P111" s="327">
        <f>N111/O111</f>
        <v>50.71</v>
      </c>
    </row>
    <row r="112" spans="10:16" ht="12.75">
      <c r="J112" s="324">
        <f t="shared" si="5"/>
        <v>11</v>
      </c>
      <c r="K112" s="331" t="s">
        <v>412</v>
      </c>
      <c r="L112" s="326" t="s">
        <v>176</v>
      </c>
      <c r="M112" s="314">
        <v>2</v>
      </c>
      <c r="N112" s="311">
        <v>50</v>
      </c>
      <c r="O112" s="324">
        <v>1</v>
      </c>
      <c r="P112" s="327">
        <f>N112/O112</f>
        <v>50</v>
      </c>
    </row>
    <row r="113" spans="10:16" ht="12.75">
      <c r="J113" s="332">
        <f t="shared" si="5"/>
        <v>12</v>
      </c>
      <c r="K113" s="333" t="s">
        <v>413</v>
      </c>
      <c r="L113" s="334" t="s">
        <v>176</v>
      </c>
      <c r="M113" s="315">
        <v>1</v>
      </c>
      <c r="N113" s="312">
        <v>10</v>
      </c>
      <c r="O113" s="332">
        <v>1</v>
      </c>
      <c r="P113" s="335">
        <f>N113/O113</f>
        <v>10</v>
      </c>
    </row>
    <row r="114" spans="10:17" ht="15.75">
      <c r="J114" s="620" t="s">
        <v>159</v>
      </c>
      <c r="K114" s="620"/>
      <c r="L114" s="620"/>
      <c r="M114" s="620"/>
      <c r="N114" s="620"/>
      <c r="O114" s="620"/>
      <c r="P114" s="340">
        <f>SUM(P102:P113)</f>
        <v>1092.7</v>
      </c>
      <c r="Q114" s="341">
        <f>P114/'[1]Custo da Mão de Obra 2'!E7</f>
        <v>0.6970972886762361</v>
      </c>
    </row>
    <row r="115" ht="12.75"/>
    <row r="116" ht="15.75">
      <c r="L116" s="342"/>
    </row>
    <row r="117" spans="11:16" ht="15.75" customHeight="1">
      <c r="K117" s="619" t="s">
        <v>415</v>
      </c>
      <c r="L117" s="619"/>
      <c r="M117" s="619"/>
      <c r="N117" s="619"/>
      <c r="O117" s="619"/>
      <c r="P117" s="619"/>
    </row>
    <row r="118" spans="10:16" ht="36">
      <c r="J118" s="319" t="s">
        <v>154</v>
      </c>
      <c r="K118" s="343" t="s">
        <v>364</v>
      </c>
      <c r="L118" s="344" t="s">
        <v>176</v>
      </c>
      <c r="M118" s="344" t="s">
        <v>405</v>
      </c>
      <c r="N118" s="344" t="s">
        <v>406</v>
      </c>
      <c r="O118" s="345" t="s">
        <v>407</v>
      </c>
      <c r="P118" s="346" t="s">
        <v>408</v>
      </c>
    </row>
    <row r="119" spans="10:16" ht="12.75">
      <c r="J119" s="324">
        <v>1</v>
      </c>
      <c r="K119" s="347" t="s">
        <v>416</v>
      </c>
      <c r="L119" s="326" t="s">
        <v>176</v>
      </c>
      <c r="M119" s="314">
        <v>1</v>
      </c>
      <c r="N119" s="311">
        <v>2295.99</v>
      </c>
      <c r="O119" s="324">
        <v>1</v>
      </c>
      <c r="P119" s="348">
        <f aca="true" t="shared" si="6" ref="P119:P127">N119/O119</f>
        <v>2295.99</v>
      </c>
    </row>
    <row r="120" spans="10:16" ht="12.75">
      <c r="J120" s="324">
        <f>J119+1</f>
        <v>2</v>
      </c>
      <c r="K120" s="325" t="s">
        <v>167</v>
      </c>
      <c r="L120" s="326" t="s">
        <v>176</v>
      </c>
      <c r="M120" s="314">
        <v>2</v>
      </c>
      <c r="N120" s="311">
        <v>52.9</v>
      </c>
      <c r="O120" s="324">
        <v>1</v>
      </c>
      <c r="P120" s="327">
        <f t="shared" si="6"/>
        <v>52.9</v>
      </c>
    </row>
    <row r="121" spans="10:16" ht="12.75">
      <c r="J121" s="324">
        <f aca="true" t="shared" si="7" ref="J121:J127">J120+1</f>
        <v>3</v>
      </c>
      <c r="K121" s="325" t="s">
        <v>400</v>
      </c>
      <c r="L121" s="326" t="s">
        <v>176</v>
      </c>
      <c r="M121" s="314">
        <v>4</v>
      </c>
      <c r="N121" s="311">
        <v>3.99</v>
      </c>
      <c r="O121" s="324">
        <v>1</v>
      </c>
      <c r="P121" s="327">
        <f t="shared" si="6"/>
        <v>3.99</v>
      </c>
    </row>
    <row r="122" spans="10:16" ht="12.75">
      <c r="J122" s="324">
        <f t="shared" si="7"/>
        <v>4</v>
      </c>
      <c r="K122" s="325" t="s">
        <v>409</v>
      </c>
      <c r="L122" s="326" t="s">
        <v>176</v>
      </c>
      <c r="M122" s="314">
        <v>1</v>
      </c>
      <c r="N122" s="311">
        <v>4.9</v>
      </c>
      <c r="O122" s="324">
        <v>1</v>
      </c>
      <c r="P122" s="327">
        <f t="shared" si="6"/>
        <v>4.9</v>
      </c>
    </row>
    <row r="123" spans="10:16" ht="25.5">
      <c r="J123" s="324">
        <f t="shared" si="7"/>
        <v>5</v>
      </c>
      <c r="K123" s="325" t="s">
        <v>410</v>
      </c>
      <c r="L123" s="326" t="s">
        <v>176</v>
      </c>
      <c r="M123" s="314">
        <v>2</v>
      </c>
      <c r="N123" s="311">
        <v>49</v>
      </c>
      <c r="O123" s="324">
        <v>1</v>
      </c>
      <c r="P123" s="327">
        <f t="shared" si="6"/>
        <v>49</v>
      </c>
    </row>
    <row r="124" spans="10:16" ht="12.75">
      <c r="J124" s="324">
        <f t="shared" si="7"/>
        <v>6</v>
      </c>
      <c r="K124" s="325" t="s">
        <v>401</v>
      </c>
      <c r="L124" s="326" t="s">
        <v>176</v>
      </c>
      <c r="M124" s="314">
        <v>4</v>
      </c>
      <c r="N124" s="311">
        <v>2.6</v>
      </c>
      <c r="O124" s="324">
        <v>1</v>
      </c>
      <c r="P124" s="327">
        <f t="shared" si="6"/>
        <v>2.6</v>
      </c>
    </row>
    <row r="125" spans="10:16" ht="12.75">
      <c r="J125" s="324">
        <f t="shared" si="7"/>
        <v>7</v>
      </c>
      <c r="K125" s="349" t="s">
        <v>417</v>
      </c>
      <c r="L125" s="326" t="s">
        <v>176</v>
      </c>
      <c r="M125" s="314">
        <v>1</v>
      </c>
      <c r="N125" s="311">
        <v>2669</v>
      </c>
      <c r="O125" s="324">
        <v>1</v>
      </c>
      <c r="P125" s="327">
        <f t="shared" si="6"/>
        <v>2669</v>
      </c>
    </row>
    <row r="126" spans="10:16" ht="12.75">
      <c r="J126" s="324">
        <f t="shared" si="7"/>
        <v>8</v>
      </c>
      <c r="K126" s="349" t="s">
        <v>418</v>
      </c>
      <c r="L126" s="326" t="s">
        <v>176</v>
      </c>
      <c r="M126" s="314">
        <v>2</v>
      </c>
      <c r="N126" s="311">
        <v>85</v>
      </c>
      <c r="O126" s="324">
        <v>1</v>
      </c>
      <c r="P126" s="327">
        <f t="shared" si="6"/>
        <v>85</v>
      </c>
    </row>
    <row r="127" spans="10:16" ht="12.75">
      <c r="J127" s="332">
        <f t="shared" si="7"/>
        <v>9</v>
      </c>
      <c r="K127" s="333" t="s">
        <v>413</v>
      </c>
      <c r="L127" s="334" t="s">
        <v>176</v>
      </c>
      <c r="M127" s="315">
        <v>1</v>
      </c>
      <c r="N127" s="312">
        <v>10</v>
      </c>
      <c r="O127" s="332">
        <v>1</v>
      </c>
      <c r="P127" s="335">
        <f t="shared" si="6"/>
        <v>10</v>
      </c>
    </row>
    <row r="128" spans="10:17" ht="15.75">
      <c r="J128" s="620" t="s">
        <v>159</v>
      </c>
      <c r="K128" s="620"/>
      <c r="L128" s="620"/>
      <c r="M128" s="620"/>
      <c r="N128" s="620"/>
      <c r="O128" s="620"/>
      <c r="P128" s="340">
        <f>SUM(P119:P127)</f>
        <v>5173.379999999999</v>
      </c>
      <c r="Q128" s="341">
        <f>P128/'[1]Custo da Mão de Obra 2'!E4</f>
        <v>0.7072289815447709</v>
      </c>
    </row>
    <row r="129" ht="12.75"/>
    <row r="130" ht="12.75"/>
    <row r="131" ht="12.75"/>
  </sheetData>
  <sheetProtection password="F181" sheet="1" objects="1" scenarios="1" selectLockedCells="1"/>
  <mergeCells count="8">
    <mergeCell ref="K117:P117"/>
    <mergeCell ref="J128:O128"/>
    <mergeCell ref="K7:P7"/>
    <mergeCell ref="J51:O51"/>
    <mergeCell ref="K52:P52"/>
    <mergeCell ref="J97:O97"/>
    <mergeCell ref="K100:P100"/>
    <mergeCell ref="J114:O114"/>
  </mergeCells>
  <printOptions/>
  <pageMargins left="0.511811024" right="0.511811024" top="0.787401575" bottom="0.787401575" header="0.31496062" footer="0.31496062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E37"/>
  <sheetViews>
    <sheetView showRowColHeaders="0" zoomScalePageLayoutView="0" workbookViewId="0" topLeftCell="A1">
      <selection activeCell="B47" sqref="B47"/>
    </sheetView>
  </sheetViews>
  <sheetFormatPr defaultColWidth="0" defaultRowHeight="12.75"/>
  <cols>
    <col min="1" max="1" width="0.85546875" style="43" customWidth="1"/>
    <col min="2" max="2" width="59.140625" style="43" customWidth="1"/>
    <col min="3" max="3" width="9.140625" style="51" customWidth="1"/>
    <col min="4" max="4" width="17.28125" style="52" customWidth="1"/>
    <col min="5" max="5" width="0.85546875" style="60" customWidth="1"/>
    <col min="6" max="16384" width="0" style="43" hidden="1" customWidth="1"/>
  </cols>
  <sheetData>
    <row r="1" spans="1:5" ht="18.75" customHeight="1">
      <c r="A1" s="38"/>
      <c r="B1" s="38"/>
      <c r="C1" s="39"/>
      <c r="D1" s="40"/>
      <c r="E1" s="54"/>
    </row>
    <row r="2" spans="1:5" ht="18">
      <c r="A2" s="38"/>
      <c r="B2" s="623" t="s">
        <v>75</v>
      </c>
      <c r="C2" s="623"/>
      <c r="D2" s="623"/>
      <c r="E2" s="54"/>
    </row>
    <row r="3" spans="1:5" ht="6.75" customHeight="1">
      <c r="A3" s="38"/>
      <c r="B3" s="624" t="s">
        <v>105</v>
      </c>
      <c r="C3" s="624"/>
      <c r="D3" s="624"/>
      <c r="E3" s="54"/>
    </row>
    <row r="4" spans="1:5" ht="8.25" customHeight="1">
      <c r="A4" s="38"/>
      <c r="B4" s="625"/>
      <c r="C4" s="625"/>
      <c r="D4" s="625"/>
      <c r="E4" s="54"/>
    </row>
    <row r="5" spans="1:5" ht="12.75">
      <c r="A5" s="38"/>
      <c r="B5" s="626" t="s">
        <v>11</v>
      </c>
      <c r="C5" s="627"/>
      <c r="D5" s="628"/>
      <c r="E5" s="54"/>
    </row>
    <row r="6" spans="1:5" ht="12.75">
      <c r="A6" s="38"/>
      <c r="B6" s="44" t="s">
        <v>0</v>
      </c>
      <c r="C6" s="45" t="s">
        <v>1</v>
      </c>
      <c r="D6" s="46">
        <v>0.2</v>
      </c>
      <c r="E6" s="54"/>
    </row>
    <row r="7" spans="1:5" ht="12.75">
      <c r="A7" s="38"/>
      <c r="B7" s="44" t="s">
        <v>2</v>
      </c>
      <c r="C7" s="45" t="s">
        <v>3</v>
      </c>
      <c r="D7" s="46">
        <v>0.08</v>
      </c>
      <c r="E7" s="54"/>
    </row>
    <row r="8" spans="1:5" ht="12.75">
      <c r="A8" s="38"/>
      <c r="B8" s="44" t="s">
        <v>4</v>
      </c>
      <c r="C8" s="45" t="s">
        <v>76</v>
      </c>
      <c r="D8" s="46">
        <v>0.025</v>
      </c>
      <c r="E8" s="55"/>
    </row>
    <row r="9" spans="1:5" ht="12.75">
      <c r="A9" s="38"/>
      <c r="B9" s="44" t="s">
        <v>77</v>
      </c>
      <c r="C9" s="45" t="s">
        <v>5</v>
      </c>
      <c r="D9" s="46">
        <v>0.015</v>
      </c>
      <c r="E9" s="54"/>
    </row>
    <row r="10" spans="1:5" ht="12.75">
      <c r="A10" s="38"/>
      <c r="B10" s="44" t="s">
        <v>78</v>
      </c>
      <c r="C10" s="45" t="s">
        <v>6</v>
      </c>
      <c r="D10" s="46">
        <v>0.01</v>
      </c>
      <c r="E10" s="54"/>
    </row>
    <row r="11" spans="1:5" ht="12.75">
      <c r="A11" s="38"/>
      <c r="B11" s="44" t="s">
        <v>7</v>
      </c>
      <c r="C11" s="45" t="s">
        <v>8</v>
      </c>
      <c r="D11" s="46">
        <v>0.006</v>
      </c>
      <c r="E11" s="54"/>
    </row>
    <row r="12" spans="1:5" ht="12.75">
      <c r="A12" s="38"/>
      <c r="B12" s="44" t="s">
        <v>34</v>
      </c>
      <c r="C12" s="45" t="s">
        <v>9</v>
      </c>
      <c r="D12" s="46">
        <v>0.002</v>
      </c>
      <c r="E12" s="54"/>
    </row>
    <row r="13" spans="1:5" ht="12.75">
      <c r="A13" s="38"/>
      <c r="B13" s="44" t="s">
        <v>41</v>
      </c>
      <c r="C13" s="45" t="s">
        <v>10</v>
      </c>
      <c r="D13" s="46">
        <f>Preços!J13</f>
        <v>0.03</v>
      </c>
      <c r="E13" s="54"/>
    </row>
    <row r="14" spans="1:5" ht="12.75">
      <c r="A14" s="38"/>
      <c r="B14" s="629" t="s">
        <v>24</v>
      </c>
      <c r="C14" s="630"/>
      <c r="D14" s="48">
        <f>SUM(D6:D13)</f>
        <v>0.3680000000000001</v>
      </c>
      <c r="E14" s="54"/>
    </row>
    <row r="15" spans="1:5" ht="12.75">
      <c r="A15" s="38"/>
      <c r="B15" s="631"/>
      <c r="C15" s="631"/>
      <c r="D15" s="631"/>
      <c r="E15" s="54"/>
    </row>
    <row r="16" spans="1:5" ht="12.75">
      <c r="A16" s="38"/>
      <c r="B16" s="626" t="s">
        <v>21</v>
      </c>
      <c r="C16" s="627"/>
      <c r="D16" s="628"/>
      <c r="E16" s="54"/>
    </row>
    <row r="17" spans="1:5" ht="12.75">
      <c r="A17" s="38"/>
      <c r="B17" s="49" t="s">
        <v>33</v>
      </c>
      <c r="C17" s="45" t="s">
        <v>12</v>
      </c>
      <c r="D17" s="46">
        <v>0.1893</v>
      </c>
      <c r="E17" s="56"/>
    </row>
    <row r="18" spans="1:5" ht="12.75">
      <c r="A18" s="38"/>
      <c r="B18" s="49" t="s">
        <v>13</v>
      </c>
      <c r="C18" s="45" t="s">
        <v>14</v>
      </c>
      <c r="D18" s="46">
        <v>0.0397</v>
      </c>
      <c r="E18" s="56"/>
    </row>
    <row r="19" spans="1:5" ht="12.75">
      <c r="A19" s="38"/>
      <c r="B19" s="44" t="s">
        <v>15</v>
      </c>
      <c r="C19" s="45" t="s">
        <v>16</v>
      </c>
      <c r="D19" s="46">
        <v>0.0079</v>
      </c>
      <c r="E19" s="54"/>
    </row>
    <row r="20" spans="1:5" ht="12.75">
      <c r="A20" s="38"/>
      <c r="B20" s="44" t="s">
        <v>17</v>
      </c>
      <c r="C20" s="45" t="s">
        <v>18</v>
      </c>
      <c r="D20" s="46">
        <v>0.0034</v>
      </c>
      <c r="E20" s="55"/>
    </row>
    <row r="21" spans="1:5" ht="12.75">
      <c r="A21" s="38"/>
      <c r="B21" s="44" t="s">
        <v>19</v>
      </c>
      <c r="C21" s="45" t="s">
        <v>20</v>
      </c>
      <c r="D21" s="46">
        <v>0.1057</v>
      </c>
      <c r="E21" s="55"/>
    </row>
    <row r="22" spans="1:5" ht="12.75">
      <c r="A22" s="38"/>
      <c r="B22" s="44" t="s">
        <v>79</v>
      </c>
      <c r="C22" s="45" t="s">
        <v>80</v>
      </c>
      <c r="D22" s="46">
        <v>0.0457</v>
      </c>
      <c r="E22" s="55"/>
    </row>
    <row r="23" spans="1:5" ht="12.75">
      <c r="A23" s="38"/>
      <c r="B23" s="629" t="s">
        <v>23</v>
      </c>
      <c r="C23" s="630"/>
      <c r="D23" s="48">
        <f>SUM(D17:D22)</f>
        <v>0.3917</v>
      </c>
      <c r="E23" s="57"/>
    </row>
    <row r="24" spans="1:5" ht="12.75">
      <c r="A24" s="38"/>
      <c r="B24" s="631"/>
      <c r="C24" s="631"/>
      <c r="D24" s="631"/>
      <c r="E24" s="57"/>
    </row>
    <row r="25" spans="1:5" ht="12.75">
      <c r="A25" s="38"/>
      <c r="B25" s="626" t="s">
        <v>22</v>
      </c>
      <c r="C25" s="627"/>
      <c r="D25" s="628"/>
      <c r="E25" s="54"/>
    </row>
    <row r="26" spans="1:5" ht="12.75">
      <c r="A26" s="38"/>
      <c r="B26" s="44" t="s">
        <v>81</v>
      </c>
      <c r="C26" s="45" t="s">
        <v>43</v>
      </c>
      <c r="D26" s="46">
        <f>50%*(D7+(D7*D23))</f>
        <v>0.055668</v>
      </c>
      <c r="E26" s="54"/>
    </row>
    <row r="27" spans="1:5" ht="12.75">
      <c r="A27" s="38"/>
      <c r="B27" s="58" t="s">
        <v>82</v>
      </c>
      <c r="C27" s="45" t="s">
        <v>72</v>
      </c>
      <c r="D27" s="46">
        <v>0.1406</v>
      </c>
      <c r="E27" s="54"/>
    </row>
    <row r="28" spans="1:5" ht="12.75">
      <c r="A28" s="38"/>
      <c r="B28" s="59" t="s">
        <v>61</v>
      </c>
      <c r="C28" s="45" t="s">
        <v>60</v>
      </c>
      <c r="D28" s="46">
        <v>0.1312</v>
      </c>
      <c r="E28" s="54"/>
    </row>
    <row r="29" spans="1:5" ht="12.75">
      <c r="A29" s="38"/>
      <c r="B29" s="629" t="s">
        <v>25</v>
      </c>
      <c r="C29" s="630"/>
      <c r="D29" s="48">
        <f>SUM(D26:D28)</f>
        <v>0.327468</v>
      </c>
      <c r="E29" s="54"/>
    </row>
    <row r="30" spans="1:5" ht="12.75">
      <c r="A30" s="38"/>
      <c r="B30" s="631"/>
      <c r="C30" s="631"/>
      <c r="D30" s="631"/>
      <c r="E30" s="54"/>
    </row>
    <row r="31" spans="1:5" ht="12.75">
      <c r="A31" s="38"/>
      <c r="B31" s="626" t="s">
        <v>83</v>
      </c>
      <c r="C31" s="627"/>
      <c r="D31" s="628"/>
      <c r="E31" s="54"/>
    </row>
    <row r="32" spans="1:5" ht="12.75">
      <c r="A32" s="38"/>
      <c r="B32" s="44" t="s">
        <v>26</v>
      </c>
      <c r="C32" s="45" t="s">
        <v>44</v>
      </c>
      <c r="D32" s="46">
        <f>D14*D23</f>
        <v>0.14414560000000004</v>
      </c>
      <c r="E32" s="54"/>
    </row>
    <row r="33" spans="1:5" ht="12.75">
      <c r="A33" s="38"/>
      <c r="B33" s="50" t="s">
        <v>84</v>
      </c>
      <c r="C33" s="45" t="s">
        <v>63</v>
      </c>
      <c r="D33" s="46">
        <f>D7*D28</f>
        <v>0.010496000000000002</v>
      </c>
      <c r="E33" s="54"/>
    </row>
    <row r="34" spans="1:5" ht="12.75">
      <c r="A34" s="38"/>
      <c r="B34" s="629" t="s">
        <v>27</v>
      </c>
      <c r="C34" s="630"/>
      <c r="D34" s="48">
        <f>SUM(D32:D33)</f>
        <v>0.15464160000000005</v>
      </c>
      <c r="E34" s="54"/>
    </row>
    <row r="35" spans="1:5" ht="12.75">
      <c r="A35" s="38"/>
      <c r="B35" s="632"/>
      <c r="C35" s="632"/>
      <c r="D35" s="632"/>
      <c r="E35" s="54"/>
    </row>
    <row r="36" spans="1:5" ht="12.75">
      <c r="A36" s="38"/>
      <c r="B36" s="633" t="s">
        <v>28</v>
      </c>
      <c r="C36" s="633"/>
      <c r="D36" s="48">
        <f>D14+D23+D29+D34</f>
        <v>1.2418096000000003</v>
      </c>
      <c r="E36" s="54"/>
    </row>
    <row r="37" spans="1:5" ht="12.75">
      <c r="A37" s="38"/>
      <c r="B37" s="39"/>
      <c r="C37" s="40"/>
      <c r="D37" s="38"/>
      <c r="E37" s="54"/>
    </row>
  </sheetData>
  <sheetProtection password="CC6D" sheet="1" objects="1" scenarios="1"/>
  <mergeCells count="15">
    <mergeCell ref="B23:C23"/>
    <mergeCell ref="B24:D24"/>
    <mergeCell ref="B34:C34"/>
    <mergeCell ref="B35:D35"/>
    <mergeCell ref="B36:C36"/>
    <mergeCell ref="B25:D25"/>
    <mergeCell ref="B29:C29"/>
    <mergeCell ref="B30:D30"/>
    <mergeCell ref="B31:D31"/>
    <mergeCell ref="B2:D2"/>
    <mergeCell ref="B3:D4"/>
    <mergeCell ref="B5:D5"/>
    <mergeCell ref="B14:C14"/>
    <mergeCell ref="B15:D15"/>
    <mergeCell ref="B16:D16"/>
  </mergeCells>
  <printOptions/>
  <pageMargins left="0.787401575" right="0.787401575" top="0.984251969" bottom="0.984251969" header="0.492125985" footer="0.492125985"/>
  <pageSetup blackAndWhite="1" fitToHeight="1" fitToWidth="1" horizontalDpi="600" verticalDpi="600" orientation="portrait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E37"/>
  <sheetViews>
    <sheetView showRowColHeaders="0" zoomScalePageLayoutView="0" workbookViewId="0" topLeftCell="A16">
      <selection activeCell="B47" sqref="B47"/>
    </sheetView>
  </sheetViews>
  <sheetFormatPr defaultColWidth="0" defaultRowHeight="12.75"/>
  <cols>
    <col min="1" max="1" width="0.85546875" style="43" customWidth="1"/>
    <col min="2" max="2" width="59.140625" style="43" customWidth="1"/>
    <col min="3" max="3" width="9.140625" style="51" customWidth="1"/>
    <col min="4" max="4" width="17.28125" style="52" customWidth="1"/>
    <col min="5" max="5" width="0.85546875" style="60" customWidth="1"/>
    <col min="6" max="16384" width="0" style="43" hidden="1" customWidth="1"/>
  </cols>
  <sheetData>
    <row r="1" spans="1:5" ht="18.75" customHeight="1">
      <c r="A1" s="38"/>
      <c r="B1" s="38"/>
      <c r="C1" s="39"/>
      <c r="D1" s="40"/>
      <c r="E1" s="54"/>
    </row>
    <row r="2" spans="1:5" ht="18">
      <c r="A2" s="38"/>
      <c r="B2" s="623" t="s">
        <v>75</v>
      </c>
      <c r="C2" s="623"/>
      <c r="D2" s="623"/>
      <c r="E2" s="54"/>
    </row>
    <row r="3" spans="1:5" ht="6.75" customHeight="1">
      <c r="A3" s="38"/>
      <c r="B3" s="624" t="s">
        <v>86</v>
      </c>
      <c r="C3" s="624"/>
      <c r="D3" s="624"/>
      <c r="E3" s="54"/>
    </row>
    <row r="4" spans="1:5" ht="8.25" customHeight="1">
      <c r="A4" s="38"/>
      <c r="B4" s="625"/>
      <c r="C4" s="625"/>
      <c r="D4" s="625"/>
      <c r="E4" s="54"/>
    </row>
    <row r="5" spans="1:5" ht="12.75">
      <c r="A5" s="38"/>
      <c r="B5" s="626" t="s">
        <v>11</v>
      </c>
      <c r="C5" s="627"/>
      <c r="D5" s="628"/>
      <c r="E5" s="54"/>
    </row>
    <row r="6" spans="1:5" ht="12.75">
      <c r="A6" s="38"/>
      <c r="B6" s="44" t="s">
        <v>0</v>
      </c>
      <c r="C6" s="45" t="s">
        <v>1</v>
      </c>
      <c r="D6" s="46">
        <v>0.2</v>
      </c>
      <c r="E6" s="54"/>
    </row>
    <row r="7" spans="1:5" ht="12.75">
      <c r="A7" s="38"/>
      <c r="B7" s="44" t="s">
        <v>2</v>
      </c>
      <c r="C7" s="45" t="s">
        <v>3</v>
      </c>
      <c r="D7" s="46">
        <v>0.08</v>
      </c>
      <c r="E7" s="54"/>
    </row>
    <row r="8" spans="1:5" ht="12.75">
      <c r="A8" s="38"/>
      <c r="B8" s="44" t="s">
        <v>4</v>
      </c>
      <c r="C8" s="45" t="s">
        <v>76</v>
      </c>
      <c r="D8" s="46">
        <v>0.025</v>
      </c>
      <c r="E8" s="55"/>
    </row>
    <row r="9" spans="1:5" ht="12.75">
      <c r="A9" s="38"/>
      <c r="B9" s="44" t="s">
        <v>77</v>
      </c>
      <c r="C9" s="45" t="s">
        <v>5</v>
      </c>
      <c r="D9" s="46">
        <v>0.015</v>
      </c>
      <c r="E9" s="54"/>
    </row>
    <row r="10" spans="1:5" ht="12.75">
      <c r="A10" s="38"/>
      <c r="B10" s="44" t="s">
        <v>78</v>
      </c>
      <c r="C10" s="45" t="s">
        <v>6</v>
      </c>
      <c r="D10" s="46">
        <v>0.01</v>
      </c>
      <c r="E10" s="54"/>
    </row>
    <row r="11" spans="1:5" ht="12.75">
      <c r="A11" s="38"/>
      <c r="B11" s="44" t="s">
        <v>7</v>
      </c>
      <c r="C11" s="45" t="s">
        <v>8</v>
      </c>
      <c r="D11" s="46">
        <v>0.006</v>
      </c>
      <c r="E11" s="54"/>
    </row>
    <row r="12" spans="1:5" ht="12.75">
      <c r="A12" s="38"/>
      <c r="B12" s="44" t="s">
        <v>34</v>
      </c>
      <c r="C12" s="45" t="s">
        <v>9</v>
      </c>
      <c r="D12" s="46">
        <v>0.002</v>
      </c>
      <c r="E12" s="54"/>
    </row>
    <row r="13" spans="1:5" ht="12.75">
      <c r="A13" s="38"/>
      <c r="B13" s="44" t="s">
        <v>41</v>
      </c>
      <c r="C13" s="45" t="s">
        <v>10</v>
      </c>
      <c r="D13" s="46">
        <f>Preços!J13</f>
        <v>0.03</v>
      </c>
      <c r="E13" s="54"/>
    </row>
    <row r="14" spans="1:5" ht="12.75">
      <c r="A14" s="38"/>
      <c r="B14" s="629" t="s">
        <v>24</v>
      </c>
      <c r="C14" s="630"/>
      <c r="D14" s="48">
        <f>SUM(D6:D13)</f>
        <v>0.3680000000000001</v>
      </c>
      <c r="E14" s="54"/>
    </row>
    <row r="15" spans="1:5" ht="12.75">
      <c r="A15" s="38"/>
      <c r="B15" s="631"/>
      <c r="C15" s="631"/>
      <c r="D15" s="631"/>
      <c r="E15" s="54"/>
    </row>
    <row r="16" spans="1:5" ht="12.75">
      <c r="A16" s="38"/>
      <c r="B16" s="626" t="s">
        <v>21</v>
      </c>
      <c r="C16" s="627"/>
      <c r="D16" s="628"/>
      <c r="E16" s="54"/>
    </row>
    <row r="17" spans="1:5" ht="12.75">
      <c r="A17" s="38"/>
      <c r="B17" s="49" t="s">
        <v>33</v>
      </c>
      <c r="C17" s="45" t="s">
        <v>12</v>
      </c>
      <c r="D17" s="46">
        <v>0</v>
      </c>
      <c r="E17" s="56"/>
    </row>
    <row r="18" spans="1:5" ht="12.75">
      <c r="A18" s="38"/>
      <c r="B18" s="49" t="s">
        <v>13</v>
      </c>
      <c r="C18" s="45" t="s">
        <v>14</v>
      </c>
      <c r="D18" s="46">
        <v>0</v>
      </c>
      <c r="E18" s="56"/>
    </row>
    <row r="19" spans="1:5" ht="12.75">
      <c r="A19" s="38"/>
      <c r="B19" s="44" t="s">
        <v>15</v>
      </c>
      <c r="C19" s="45" t="s">
        <v>16</v>
      </c>
      <c r="D19" s="46">
        <v>0</v>
      </c>
      <c r="E19" s="54"/>
    </row>
    <row r="20" spans="1:5" ht="12.75">
      <c r="A20" s="38"/>
      <c r="B20" s="44" t="s">
        <v>17</v>
      </c>
      <c r="C20" s="45" t="s">
        <v>18</v>
      </c>
      <c r="D20" s="46">
        <v>0</v>
      </c>
      <c r="E20" s="55"/>
    </row>
    <row r="21" spans="1:5" ht="12.75">
      <c r="A21" s="38"/>
      <c r="B21" s="44" t="s">
        <v>19</v>
      </c>
      <c r="C21" s="45" t="s">
        <v>20</v>
      </c>
      <c r="D21" s="46">
        <v>0.0822</v>
      </c>
      <c r="E21" s="55"/>
    </row>
    <row r="22" spans="1:5" ht="12.75">
      <c r="A22" s="38"/>
      <c r="B22" s="44" t="s">
        <v>79</v>
      </c>
      <c r="C22" s="45" t="s">
        <v>80</v>
      </c>
      <c r="D22" s="46">
        <v>0</v>
      </c>
      <c r="E22" s="55"/>
    </row>
    <row r="23" spans="1:5" ht="12.75">
      <c r="A23" s="38"/>
      <c r="B23" s="629" t="s">
        <v>23</v>
      </c>
      <c r="C23" s="630"/>
      <c r="D23" s="48">
        <f>SUM(D17:D22)</f>
        <v>0.0822</v>
      </c>
      <c r="E23" s="57"/>
    </row>
    <row r="24" spans="1:5" ht="12.75">
      <c r="A24" s="38"/>
      <c r="B24" s="631"/>
      <c r="C24" s="631"/>
      <c r="D24" s="631"/>
      <c r="E24" s="57"/>
    </row>
    <row r="25" spans="1:5" ht="12.75">
      <c r="A25" s="38"/>
      <c r="B25" s="626" t="s">
        <v>22</v>
      </c>
      <c r="C25" s="627"/>
      <c r="D25" s="628"/>
      <c r="E25" s="54"/>
    </row>
    <row r="26" spans="1:5" ht="12.75">
      <c r="A26" s="38"/>
      <c r="B26" s="44" t="s">
        <v>81</v>
      </c>
      <c r="C26" s="45" t="s">
        <v>43</v>
      </c>
      <c r="D26" s="46">
        <f>50%*(D7+(D7*D23))</f>
        <v>0.043288</v>
      </c>
      <c r="E26" s="54"/>
    </row>
    <row r="27" spans="1:5" ht="12.75">
      <c r="A27" s="38"/>
      <c r="B27" s="58" t="s">
        <v>82</v>
      </c>
      <c r="C27" s="45" t="s">
        <v>72</v>
      </c>
      <c r="D27" s="46">
        <v>0.1093</v>
      </c>
      <c r="E27" s="54"/>
    </row>
    <row r="28" spans="1:5" ht="12.75">
      <c r="A28" s="38"/>
      <c r="B28" s="59" t="s">
        <v>61</v>
      </c>
      <c r="C28" s="45" t="s">
        <v>60</v>
      </c>
      <c r="D28" s="46">
        <v>0.102</v>
      </c>
      <c r="E28" s="54"/>
    </row>
    <row r="29" spans="1:5" ht="12.75">
      <c r="A29" s="38"/>
      <c r="B29" s="629" t="s">
        <v>25</v>
      </c>
      <c r="C29" s="630"/>
      <c r="D29" s="48">
        <f>SUM(D26:D28)</f>
        <v>0.254588</v>
      </c>
      <c r="E29" s="54"/>
    </row>
    <row r="30" spans="1:5" ht="12.75">
      <c r="A30" s="38"/>
      <c r="B30" s="631"/>
      <c r="C30" s="631"/>
      <c r="D30" s="631"/>
      <c r="E30" s="54"/>
    </row>
    <row r="31" spans="1:5" ht="12.75">
      <c r="A31" s="38"/>
      <c r="B31" s="626" t="s">
        <v>83</v>
      </c>
      <c r="C31" s="627"/>
      <c r="D31" s="628"/>
      <c r="E31" s="54"/>
    </row>
    <row r="32" spans="1:5" ht="12.75">
      <c r="A32" s="38"/>
      <c r="B32" s="44" t="s">
        <v>26</v>
      </c>
      <c r="C32" s="45" t="s">
        <v>44</v>
      </c>
      <c r="D32" s="46">
        <f>D14*D23</f>
        <v>0.03024960000000001</v>
      </c>
      <c r="E32" s="54"/>
    </row>
    <row r="33" spans="1:5" ht="12.75">
      <c r="A33" s="38"/>
      <c r="B33" s="50" t="s">
        <v>84</v>
      </c>
      <c r="C33" s="45" t="s">
        <v>63</v>
      </c>
      <c r="D33" s="46">
        <f>D7*D28</f>
        <v>0.008159999999999999</v>
      </c>
      <c r="E33" s="54"/>
    </row>
    <row r="34" spans="1:5" ht="12.75">
      <c r="A34" s="38"/>
      <c r="B34" s="629" t="s">
        <v>27</v>
      </c>
      <c r="C34" s="630"/>
      <c r="D34" s="48">
        <f>SUM(D32:D33)</f>
        <v>0.03840960000000001</v>
      </c>
      <c r="E34" s="54"/>
    </row>
    <row r="35" spans="1:5" ht="12.75">
      <c r="A35" s="38"/>
      <c r="B35" s="632"/>
      <c r="C35" s="632"/>
      <c r="D35" s="632"/>
      <c r="E35" s="54"/>
    </row>
    <row r="36" spans="1:5" ht="12.75">
      <c r="A36" s="38"/>
      <c r="B36" s="633" t="s">
        <v>28</v>
      </c>
      <c r="C36" s="633"/>
      <c r="D36" s="48">
        <f>D14+D23+D29+D34</f>
        <v>0.7431976000000001</v>
      </c>
      <c r="E36" s="54"/>
    </row>
    <row r="37" spans="1:5" ht="12.75">
      <c r="A37" s="38"/>
      <c r="B37" s="39"/>
      <c r="C37" s="40"/>
      <c r="D37" s="38"/>
      <c r="E37" s="54"/>
    </row>
  </sheetData>
  <sheetProtection password="CC6D" sheet="1" objects="1" scenarios="1"/>
  <mergeCells count="15">
    <mergeCell ref="B15:D15"/>
    <mergeCell ref="B16:D16"/>
    <mergeCell ref="B23:C23"/>
    <mergeCell ref="B24:D24"/>
    <mergeCell ref="B2:D2"/>
    <mergeCell ref="B3:D4"/>
    <mergeCell ref="B5:D5"/>
    <mergeCell ref="B14:C14"/>
    <mergeCell ref="B34:C34"/>
    <mergeCell ref="B35:D35"/>
    <mergeCell ref="B36:C36"/>
    <mergeCell ref="B25:D25"/>
    <mergeCell ref="B29:C29"/>
    <mergeCell ref="B30:D30"/>
    <mergeCell ref="B31:D31"/>
  </mergeCells>
  <printOptions/>
  <pageMargins left="0.787401575" right="0.787401575" top="0.984251969" bottom="0.984251969" header="0.492125985" footer="0.492125985"/>
  <pageSetup blackAndWhite="1" fitToHeight="1" fitToWidth="1" horizontalDpi="600" verticalDpi="600" orientation="portrait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48"/>
  <sheetViews>
    <sheetView showRowColHeaders="0" zoomScalePageLayoutView="0" workbookViewId="0" topLeftCell="A1">
      <selection activeCell="B47" sqref="B47"/>
    </sheetView>
  </sheetViews>
  <sheetFormatPr defaultColWidth="0" defaultRowHeight="12.75"/>
  <cols>
    <col min="1" max="1" width="0.85546875" style="43" customWidth="1"/>
    <col min="2" max="2" width="59.140625" style="43" customWidth="1"/>
    <col min="3" max="3" width="9.140625" style="51" customWidth="1"/>
    <col min="4" max="4" width="17.28125" style="52" customWidth="1"/>
    <col min="5" max="5" width="0.85546875" style="60" customWidth="1"/>
    <col min="6" max="16384" width="0" style="43" hidden="1" customWidth="1"/>
  </cols>
  <sheetData>
    <row r="1" spans="1:5" ht="18.75" customHeight="1">
      <c r="A1" s="38"/>
      <c r="B1" s="38"/>
      <c r="C1" s="39"/>
      <c r="D1" s="40"/>
      <c r="E1" s="54"/>
    </row>
    <row r="2" spans="1:5" ht="18">
      <c r="A2" s="38"/>
      <c r="B2" s="623" t="s">
        <v>125</v>
      </c>
      <c r="C2" s="623"/>
      <c r="D2" s="623"/>
      <c r="E2" s="54"/>
    </row>
    <row r="3" spans="1:5" ht="6.75" customHeight="1">
      <c r="A3" s="38"/>
      <c r="B3" s="624" t="s">
        <v>105</v>
      </c>
      <c r="C3" s="624"/>
      <c r="D3" s="624"/>
      <c r="E3" s="54"/>
    </row>
    <row r="4" spans="1:5" ht="8.25" customHeight="1">
      <c r="A4" s="38"/>
      <c r="B4" s="625"/>
      <c r="C4" s="625"/>
      <c r="D4" s="625"/>
      <c r="E4" s="54"/>
    </row>
    <row r="5" spans="1:5" ht="12.75">
      <c r="A5" s="38"/>
      <c r="B5" s="626" t="s">
        <v>11</v>
      </c>
      <c r="C5" s="627"/>
      <c r="D5" s="628"/>
      <c r="E5" s="54"/>
    </row>
    <row r="6" spans="1:5" ht="12.75">
      <c r="A6" s="38"/>
      <c r="B6" s="65" t="s">
        <v>0</v>
      </c>
      <c r="C6" s="92" t="s">
        <v>1</v>
      </c>
      <c r="D6" s="90">
        <v>0.2</v>
      </c>
      <c r="E6" s="54"/>
    </row>
    <row r="7" spans="1:5" ht="12.75">
      <c r="A7" s="38"/>
      <c r="B7" s="65" t="s">
        <v>2</v>
      </c>
      <c r="C7" s="92" t="s">
        <v>3</v>
      </c>
      <c r="D7" s="90">
        <v>0.08</v>
      </c>
      <c r="E7" s="54"/>
    </row>
    <row r="8" spans="1:5" ht="12.75">
      <c r="A8" s="38"/>
      <c r="B8" s="65" t="s">
        <v>4</v>
      </c>
      <c r="C8" s="92" t="s">
        <v>76</v>
      </c>
      <c r="D8" s="90">
        <v>0.025</v>
      </c>
      <c r="E8" s="55"/>
    </row>
    <row r="9" spans="1:5" ht="12.75">
      <c r="A9" s="38"/>
      <c r="B9" s="65" t="s">
        <v>77</v>
      </c>
      <c r="C9" s="92" t="s">
        <v>5</v>
      </c>
      <c r="D9" s="90">
        <v>0.015</v>
      </c>
      <c r="E9" s="54"/>
    </row>
    <row r="10" spans="1:5" ht="12.75">
      <c r="A10" s="38"/>
      <c r="B10" s="65" t="s">
        <v>78</v>
      </c>
      <c r="C10" s="92" t="s">
        <v>6</v>
      </c>
      <c r="D10" s="90">
        <v>0.01</v>
      </c>
      <c r="E10" s="54"/>
    </row>
    <row r="11" spans="1:5" ht="12.75">
      <c r="A11" s="38"/>
      <c r="B11" s="65" t="s">
        <v>7</v>
      </c>
      <c r="C11" s="92" t="s">
        <v>8</v>
      </c>
      <c r="D11" s="90">
        <v>0.006</v>
      </c>
      <c r="E11" s="54"/>
    </row>
    <row r="12" spans="1:5" ht="12.75">
      <c r="A12" s="38"/>
      <c r="B12" s="65" t="s">
        <v>34</v>
      </c>
      <c r="C12" s="92" t="s">
        <v>9</v>
      </c>
      <c r="D12" s="90">
        <v>0.002</v>
      </c>
      <c r="E12" s="54"/>
    </row>
    <row r="13" spans="1:5" ht="12.75">
      <c r="A13" s="38"/>
      <c r="B13" s="65" t="s">
        <v>41</v>
      </c>
      <c r="C13" s="92" t="s">
        <v>10</v>
      </c>
      <c r="D13" s="90">
        <f>Preços!J13</f>
        <v>0.03</v>
      </c>
      <c r="E13" s="54"/>
    </row>
    <row r="14" spans="1:5" ht="12.75">
      <c r="A14" s="38"/>
      <c r="B14" s="629" t="s">
        <v>24</v>
      </c>
      <c r="C14" s="630"/>
      <c r="D14" s="48">
        <f>SUM(D6:D13)</f>
        <v>0.3680000000000001</v>
      </c>
      <c r="E14" s="54"/>
    </row>
    <row r="15" spans="1:5" ht="12.75">
      <c r="A15" s="38"/>
      <c r="B15" s="631"/>
      <c r="C15" s="631"/>
      <c r="D15" s="631"/>
      <c r="E15" s="54"/>
    </row>
    <row r="16" spans="1:5" ht="12.75">
      <c r="A16" s="38"/>
      <c r="B16" s="626" t="s">
        <v>21</v>
      </c>
      <c r="C16" s="627"/>
      <c r="D16" s="628"/>
      <c r="E16" s="54"/>
    </row>
    <row r="17" spans="1:5" ht="12.75">
      <c r="A17" s="38"/>
      <c r="B17" s="91" t="s">
        <v>33</v>
      </c>
      <c r="C17" s="92" t="s">
        <v>12</v>
      </c>
      <c r="D17" s="90">
        <v>0.1893</v>
      </c>
      <c r="E17" s="56"/>
    </row>
    <row r="18" spans="1:5" ht="12.75">
      <c r="A18" s="38"/>
      <c r="B18" s="91" t="s">
        <v>13</v>
      </c>
      <c r="C18" s="92" t="s">
        <v>14</v>
      </c>
      <c r="D18" s="90">
        <v>0.0397</v>
      </c>
      <c r="E18" s="56"/>
    </row>
    <row r="19" spans="1:5" ht="12.75">
      <c r="A19" s="38"/>
      <c r="B19" s="65" t="s">
        <v>15</v>
      </c>
      <c r="C19" s="92" t="s">
        <v>16</v>
      </c>
      <c r="D19" s="90">
        <v>0.0079</v>
      </c>
      <c r="E19" s="54"/>
    </row>
    <row r="20" spans="1:5" ht="12.75">
      <c r="A20" s="38"/>
      <c r="B20" s="65" t="s">
        <v>132</v>
      </c>
      <c r="C20" s="92" t="s">
        <v>18</v>
      </c>
      <c r="D20" s="90">
        <v>0.0034</v>
      </c>
      <c r="E20" s="55"/>
    </row>
    <row r="21" spans="1:5" ht="12.75">
      <c r="A21" s="38"/>
      <c r="B21" s="65" t="s">
        <v>19</v>
      </c>
      <c r="C21" s="92" t="s">
        <v>20</v>
      </c>
      <c r="D21" s="90">
        <v>0.1057</v>
      </c>
      <c r="E21" s="55"/>
    </row>
    <row r="22" spans="1:5" ht="12.75">
      <c r="A22" s="38"/>
      <c r="B22" s="65" t="s">
        <v>79</v>
      </c>
      <c r="C22" s="92" t="s">
        <v>80</v>
      </c>
      <c r="D22" s="90">
        <v>0.0457</v>
      </c>
      <c r="E22" s="55"/>
    </row>
    <row r="23" spans="1:5" ht="12.75">
      <c r="A23" s="38"/>
      <c r="B23" s="65" t="s">
        <v>128</v>
      </c>
      <c r="C23" s="92" t="s">
        <v>129</v>
      </c>
      <c r="D23" s="90">
        <v>0.005</v>
      </c>
      <c r="E23" s="55"/>
    </row>
    <row r="24" spans="1:5" ht="12.75">
      <c r="A24" s="38"/>
      <c r="B24" s="65" t="s">
        <v>131</v>
      </c>
      <c r="C24" s="92" t="s">
        <v>130</v>
      </c>
      <c r="D24" s="90">
        <v>0.0034</v>
      </c>
      <c r="E24" s="55"/>
    </row>
    <row r="25" spans="1:5" ht="12.75">
      <c r="A25" s="38"/>
      <c r="B25" s="65"/>
      <c r="C25" s="92"/>
      <c r="D25" s="90"/>
      <c r="E25" s="55"/>
    </row>
    <row r="26" spans="1:5" ht="12.75">
      <c r="A26" s="38"/>
      <c r="B26" s="65"/>
      <c r="C26" s="92"/>
      <c r="D26" s="90"/>
      <c r="E26" s="55"/>
    </row>
    <row r="27" spans="1:5" ht="12.75">
      <c r="A27" s="38"/>
      <c r="B27" s="629" t="s">
        <v>23</v>
      </c>
      <c r="C27" s="630"/>
      <c r="D27" s="48">
        <f>SUM(D17:D26)</f>
        <v>0.4001</v>
      </c>
      <c r="E27" s="57"/>
    </row>
    <row r="28" spans="1:5" ht="12.75">
      <c r="A28" s="38"/>
      <c r="B28" s="631"/>
      <c r="C28" s="631"/>
      <c r="D28" s="631"/>
      <c r="E28" s="57"/>
    </row>
    <row r="29" spans="1:5" ht="12.75">
      <c r="A29" s="38"/>
      <c r="B29" s="626" t="s">
        <v>22</v>
      </c>
      <c r="C29" s="627"/>
      <c r="D29" s="628"/>
      <c r="E29" s="54"/>
    </row>
    <row r="30" spans="1:5" ht="12.75">
      <c r="A30" s="38"/>
      <c r="B30" s="65" t="s">
        <v>81</v>
      </c>
      <c r="C30" s="92" t="s">
        <v>43</v>
      </c>
      <c r="D30" s="90">
        <f>50%*(D7+(D7*D27))</f>
        <v>0.056004</v>
      </c>
      <c r="E30" s="54"/>
    </row>
    <row r="31" spans="1:5" ht="12.75">
      <c r="A31" s="38"/>
      <c r="B31" s="93" t="s">
        <v>82</v>
      </c>
      <c r="C31" s="92" t="s">
        <v>72</v>
      </c>
      <c r="D31" s="90">
        <v>0.1406</v>
      </c>
      <c r="E31" s="54"/>
    </row>
    <row r="32" spans="1:5" ht="12.75">
      <c r="A32" s="38"/>
      <c r="B32" s="93" t="s">
        <v>61</v>
      </c>
      <c r="C32" s="92" t="s">
        <v>60</v>
      </c>
      <c r="D32" s="90">
        <v>0.1312</v>
      </c>
      <c r="E32" s="54"/>
    </row>
    <row r="33" spans="1:5" ht="12.75">
      <c r="A33" s="38"/>
      <c r="B33" s="93" t="s">
        <v>62</v>
      </c>
      <c r="C33" s="92" t="s">
        <v>127</v>
      </c>
      <c r="D33" s="90">
        <v>0.0057</v>
      </c>
      <c r="E33" s="54"/>
    </row>
    <row r="34" spans="1:5" ht="12.75">
      <c r="A34" s="38"/>
      <c r="B34" s="93"/>
      <c r="C34" s="92"/>
      <c r="D34" s="90"/>
      <c r="E34" s="54"/>
    </row>
    <row r="35" spans="1:5" ht="12.75">
      <c r="A35" s="38"/>
      <c r="B35" s="93"/>
      <c r="C35" s="92"/>
      <c r="D35" s="90"/>
      <c r="E35" s="54"/>
    </row>
    <row r="36" spans="1:5" ht="12.75">
      <c r="A36" s="38"/>
      <c r="B36" s="93"/>
      <c r="C36" s="92"/>
      <c r="D36" s="90"/>
      <c r="E36" s="54"/>
    </row>
    <row r="37" spans="1:5" ht="12.75">
      <c r="A37" s="38"/>
      <c r="B37" s="629" t="s">
        <v>25</v>
      </c>
      <c r="C37" s="630"/>
      <c r="D37" s="48">
        <f>SUM(D30:D36)</f>
        <v>0.33350399999999997</v>
      </c>
      <c r="E37" s="54"/>
    </row>
    <row r="38" spans="1:5" ht="12.75">
      <c r="A38" s="38"/>
      <c r="B38" s="631"/>
      <c r="C38" s="631"/>
      <c r="D38" s="631"/>
      <c r="E38" s="54"/>
    </row>
    <row r="39" spans="1:5" ht="12.75">
      <c r="A39" s="38"/>
      <c r="B39" s="626" t="s">
        <v>133</v>
      </c>
      <c r="C39" s="627"/>
      <c r="D39" s="628"/>
      <c r="E39" s="54"/>
    </row>
    <row r="40" spans="1:5" ht="12.75">
      <c r="A40" s="38"/>
      <c r="B40" s="65" t="s">
        <v>26</v>
      </c>
      <c r="C40" s="92" t="s">
        <v>44</v>
      </c>
      <c r="D40" s="90">
        <f>D14*D27</f>
        <v>0.14723680000000006</v>
      </c>
      <c r="E40" s="54"/>
    </row>
    <row r="41" spans="1:5" ht="12.75">
      <c r="A41" s="38"/>
      <c r="B41" s="65" t="s">
        <v>84</v>
      </c>
      <c r="C41" s="92" t="s">
        <v>63</v>
      </c>
      <c r="D41" s="90">
        <f>D7*D32</f>
        <v>0.010496000000000002</v>
      </c>
      <c r="E41" s="54"/>
    </row>
    <row r="42" spans="1:5" ht="12.75">
      <c r="A42" s="38"/>
      <c r="B42" s="65"/>
      <c r="C42" s="92"/>
      <c r="D42" s="90"/>
      <c r="E42" s="54"/>
    </row>
    <row r="43" spans="1:5" ht="12.75">
      <c r="A43" s="38"/>
      <c r="B43" s="65"/>
      <c r="C43" s="92"/>
      <c r="D43" s="90"/>
      <c r="E43" s="54"/>
    </row>
    <row r="44" spans="1:5" ht="12.75">
      <c r="A44" s="38"/>
      <c r="B44" s="65"/>
      <c r="C44" s="92"/>
      <c r="D44" s="90"/>
      <c r="E44" s="54"/>
    </row>
    <row r="45" spans="1:5" ht="12.75">
      <c r="A45" s="38"/>
      <c r="B45" s="629" t="s">
        <v>27</v>
      </c>
      <c r="C45" s="630"/>
      <c r="D45" s="48">
        <f>SUM(D40:D44)</f>
        <v>0.15773280000000006</v>
      </c>
      <c r="E45" s="54"/>
    </row>
    <row r="46" spans="1:5" ht="12.75">
      <c r="A46" s="38"/>
      <c r="B46" s="632"/>
      <c r="C46" s="632"/>
      <c r="D46" s="632"/>
      <c r="E46" s="54"/>
    </row>
    <row r="47" spans="1:5" ht="12.75">
      <c r="A47" s="38"/>
      <c r="B47" s="633" t="s">
        <v>28</v>
      </c>
      <c r="C47" s="633"/>
      <c r="D47" s="48">
        <f>D14+D27+D37+D45</f>
        <v>1.2593368</v>
      </c>
      <c r="E47" s="54"/>
    </row>
    <row r="48" spans="1:5" ht="12.75">
      <c r="A48" s="38"/>
      <c r="B48" s="39"/>
      <c r="C48" s="40"/>
      <c r="D48" s="38"/>
      <c r="E48" s="54"/>
    </row>
  </sheetData>
  <sheetProtection password="CC6D" sheet="1" objects="1" scenarios="1" insertRows="0" deleteRows="0"/>
  <mergeCells count="15">
    <mergeCell ref="B15:D15"/>
    <mergeCell ref="B16:D16"/>
    <mergeCell ref="B27:C27"/>
    <mergeCell ref="B28:D28"/>
    <mergeCell ref="B2:D2"/>
    <mergeCell ref="B3:D4"/>
    <mergeCell ref="B5:D5"/>
    <mergeCell ref="B14:C14"/>
    <mergeCell ref="B45:C45"/>
    <mergeCell ref="B46:D46"/>
    <mergeCell ref="B47:C47"/>
    <mergeCell ref="B29:D29"/>
    <mergeCell ref="B37:C37"/>
    <mergeCell ref="B38:D38"/>
    <mergeCell ref="B39:D39"/>
  </mergeCells>
  <printOptions/>
  <pageMargins left="0.787401575" right="0.787401575" top="0.984251969" bottom="0.984251969" header="0.492125985" footer="0.492125985"/>
  <pageSetup blackAndWhite="1" fitToHeight="1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Rubem Souza</cp:lastModifiedBy>
  <cp:lastPrinted>2020-05-19T14:54:29Z</cp:lastPrinted>
  <dcterms:created xsi:type="dcterms:W3CDTF">1997-01-10T22:22:50Z</dcterms:created>
  <dcterms:modified xsi:type="dcterms:W3CDTF">2021-05-23T20:49:15Z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